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U:\Előterjesztések\költségvetési rendelet 2024\I. félév\Rendelet\"/>
    </mc:Choice>
  </mc:AlternateContent>
  <xr:revisionPtr revIDLastSave="0" documentId="13_ncr:1_{C35FC04D-2DD3-403B-BFBD-CFEF842893A9}" xr6:coauthVersionLast="36" xr6:coauthVersionMax="36" xr10:uidLastSave="{00000000-0000-0000-0000-000000000000}"/>
  <bookViews>
    <workbookView xWindow="240" yWindow="0" windowWidth="2740" windowHeight="1220" tabRatio="951" xr2:uid="{00000000-000D-0000-FFFF-FFFF00000000}"/>
  </bookViews>
  <sheets>
    <sheet name="Tartalom" sheetId="1" r:id="rId1"/>
    <sheet name="Mérleg" sheetId="2" r:id="rId2"/>
    <sheet name="Működési bevételek" sheetId="3" r:id="rId3"/>
    <sheet name="Felhalmozási bevételek" sheetId="14" r:id="rId4"/>
    <sheet name="Működési kiadások" sheetId="5" r:id="rId5"/>
    <sheet name="Felhalmozási kiadások" sheetId="15" r:id="rId6"/>
    <sheet name="Állami támogatások " sheetId="50" r:id="rId7"/>
    <sheet name="támogatások" sheetId="49" r:id="rId8"/>
    <sheet name="Címrend" sheetId="8" r:id="rId9"/>
    <sheet name="Létszámok " sheetId="29" state="hidden" r:id="rId10"/>
    <sheet name="Közvetett támogatások" sheetId="40" state="hidden" r:id="rId11"/>
    <sheet name="Finanszírozás" sheetId="19" state="hidden" r:id="rId12"/>
    <sheet name="Gördülő tervezés" sheetId="20" state="hidden" r:id="rId13"/>
    <sheet name=" hitel" sheetId="32" state="hidden" r:id="rId14"/>
    <sheet name="Többéves " sheetId="34" state="hidden" r:id="rId15"/>
    <sheet name="Saját bevételek részletezése" sheetId="33" state="hidden" r:id="rId16"/>
    <sheet name="Adósságot keletkeztető fejleszt" sheetId="24" state="hidden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Print_Area" localSheetId="13">' hitel'!$A$1:$X$18</definedName>
    <definedName name="_xlnm.Print_Area" localSheetId="6">'Állami támogatások '!$A$1:$E$57</definedName>
    <definedName name="_xlnm.Print_Area" localSheetId="8">Címrend!$A$1:$D$29</definedName>
    <definedName name="_xlnm.Print_Area" localSheetId="3">'Felhalmozási bevételek'!$A$1:$L$43</definedName>
    <definedName name="_xlnm.Print_Area" localSheetId="5">'Felhalmozási kiadások'!$A$1:$J$108</definedName>
    <definedName name="_xlnm.Print_Area" localSheetId="11">Finanszírozás!$A$1:$N$36</definedName>
    <definedName name="_xlnm.Print_Area" localSheetId="10">#REF!</definedName>
    <definedName name="_xlnm.Print_Area" localSheetId="9">'Létszámok '!$A$1:$E$33</definedName>
    <definedName name="_xlnm.Print_Area" localSheetId="2">'Működési bevételek'!$A$1:$L$150</definedName>
    <definedName name="_xlnm.Print_Area" localSheetId="4">'Működési kiadások'!$A$1:$N$390</definedName>
    <definedName name="_xlnm.Print_Area" localSheetId="15">'Saját bevételek részletezése'!$A$1:$E$20</definedName>
    <definedName name="_xlnm.Print_Area" localSheetId="7">támogatások!$A$1:$C$77</definedName>
    <definedName name="_xlnm.Print_Area" localSheetId="14">'Többéves '!$A$1:$K$89</definedName>
    <definedName name="_xlnm.Print_Area">#REF!</definedName>
  </definedNames>
  <calcPr calcId="191029"/>
</workbook>
</file>

<file path=xl/calcChain.xml><?xml version="1.0" encoding="utf-8"?>
<calcChain xmlns="http://schemas.openxmlformats.org/spreadsheetml/2006/main">
  <c r="O24" i="8" l="1"/>
  <c r="I126" i="5" l="1"/>
  <c r="I120" i="15"/>
  <c r="N26" i="8" l="1"/>
  <c r="D66" i="49"/>
  <c r="D77" i="49" s="1"/>
  <c r="E77" i="49" s="1"/>
  <c r="C77" i="49"/>
  <c r="D64" i="49"/>
  <c r="D45" i="49"/>
  <c r="D38" i="49"/>
  <c r="D22" i="49"/>
  <c r="D20" i="49" s="1"/>
  <c r="D7" i="49"/>
  <c r="D5" i="49" s="1"/>
  <c r="F56" i="50"/>
  <c r="F57" i="50"/>
  <c r="F55" i="50"/>
  <c r="E57" i="50"/>
  <c r="E55" i="50"/>
  <c r="E56" i="50"/>
  <c r="E46" i="50"/>
  <c r="E47" i="50"/>
  <c r="E50" i="50" s="1"/>
  <c r="E39" i="50"/>
  <c r="E26" i="50"/>
  <c r="E24" i="50"/>
  <c r="E20" i="50"/>
  <c r="E14" i="50"/>
  <c r="Y21" i="2"/>
  <c r="Y26" i="2" s="1"/>
  <c r="Y18" i="2"/>
  <c r="Y17" i="2"/>
  <c r="Y12" i="2"/>
  <c r="Y10" i="2"/>
  <c r="Y9" i="2"/>
  <c r="Y8" i="2"/>
  <c r="Y6" i="2"/>
  <c r="Y7" i="2"/>
  <c r="U28" i="2"/>
  <c r="U27" i="2"/>
  <c r="U11" i="2"/>
  <c r="U10" i="2"/>
  <c r="U9" i="2"/>
  <c r="U8" i="2"/>
  <c r="U7" i="2"/>
  <c r="U6" i="2"/>
  <c r="I303" i="5"/>
  <c r="Q9" i="2"/>
  <c r="O9" i="2"/>
  <c r="O12" i="2"/>
  <c r="Q6" i="2"/>
  <c r="O6" i="2"/>
  <c r="P37" i="2"/>
  <c r="F31" i="2"/>
  <c r="F30" i="2"/>
  <c r="F25" i="2"/>
  <c r="F11" i="2"/>
  <c r="F26" i="2"/>
  <c r="F15" i="2"/>
  <c r="F14" i="2"/>
  <c r="F16" i="2"/>
  <c r="F13" i="2"/>
  <c r="F9" i="2"/>
  <c r="F8" i="2"/>
  <c r="H6" i="2"/>
  <c r="H7" i="2"/>
  <c r="F7" i="2"/>
  <c r="F6" i="2"/>
  <c r="L7" i="2"/>
  <c r="G156" i="3"/>
  <c r="K156" i="3"/>
  <c r="J156" i="3"/>
  <c r="I156" i="3"/>
  <c r="H156" i="3"/>
  <c r="F156" i="3"/>
  <c r="E156" i="3"/>
  <c r="J130" i="3"/>
  <c r="I130" i="3"/>
  <c r="H130" i="3"/>
  <c r="G130" i="3"/>
  <c r="E130" i="3"/>
  <c r="J129" i="3"/>
  <c r="I129" i="3"/>
  <c r="H129" i="3"/>
  <c r="G129" i="3"/>
  <c r="F129" i="3"/>
  <c r="E129" i="3"/>
  <c r="L128" i="3"/>
  <c r="L127" i="3"/>
  <c r="L126" i="3"/>
  <c r="K126" i="3"/>
  <c r="L125" i="3"/>
  <c r="L123" i="3"/>
  <c r="L122" i="3"/>
  <c r="K121" i="3"/>
  <c r="K129" i="3" s="1"/>
  <c r="L120" i="3"/>
  <c r="K120" i="3"/>
  <c r="K130" i="3" s="1"/>
  <c r="F120" i="3"/>
  <c r="F130" i="3" s="1"/>
  <c r="L119" i="3"/>
  <c r="H118" i="3"/>
  <c r="L118" i="3" s="1"/>
  <c r="L117" i="3"/>
  <c r="L116" i="3"/>
  <c r="L130" i="3" s="1"/>
  <c r="L115" i="3"/>
  <c r="L114" i="3"/>
  <c r="H114" i="3"/>
  <c r="L113" i="3"/>
  <c r="L112" i="3"/>
  <c r="L111" i="3"/>
  <c r="L110" i="3"/>
  <c r="L109" i="3"/>
  <c r="L108" i="3"/>
  <c r="E108" i="3"/>
  <c r="L107" i="3"/>
  <c r="L106" i="3"/>
  <c r="L105" i="3"/>
  <c r="L19" i="14"/>
  <c r="L17" i="14"/>
  <c r="L15" i="14"/>
  <c r="L13" i="14"/>
  <c r="L11" i="14"/>
  <c r="L9" i="14"/>
  <c r="L7" i="14"/>
  <c r="L70" i="3"/>
  <c r="L62" i="3"/>
  <c r="L60" i="3"/>
  <c r="L58" i="3"/>
  <c r="L56" i="3"/>
  <c r="L54" i="3"/>
  <c r="L52" i="3"/>
  <c r="L50" i="3"/>
  <c r="L48" i="3"/>
  <c r="F152" i="3"/>
  <c r="G152" i="3"/>
  <c r="H152" i="3"/>
  <c r="I152" i="3"/>
  <c r="J152" i="3"/>
  <c r="K152" i="3"/>
  <c r="L152" i="3"/>
  <c r="F153" i="3"/>
  <c r="G153" i="3"/>
  <c r="H153" i="3"/>
  <c r="I153" i="3"/>
  <c r="J153" i="3"/>
  <c r="K153" i="3"/>
  <c r="E153" i="3"/>
  <c r="E152" i="3"/>
  <c r="L64" i="3"/>
  <c r="K63" i="3"/>
  <c r="L31" i="14"/>
  <c r="L29" i="14"/>
  <c r="L27" i="14"/>
  <c r="L25" i="14"/>
  <c r="L21" i="14"/>
  <c r="L23" i="14"/>
  <c r="L33" i="14"/>
  <c r="K33" i="14"/>
  <c r="N16" i="8"/>
  <c r="L68" i="3"/>
  <c r="K68" i="3"/>
  <c r="K62" i="3"/>
  <c r="E50" i="3"/>
  <c r="H60" i="3"/>
  <c r="H56" i="3"/>
  <c r="F62" i="3"/>
  <c r="L129" i="3" l="1"/>
  <c r="L121" i="3"/>
  <c r="K143" i="3" l="1"/>
  <c r="J143" i="3"/>
  <c r="I143" i="3"/>
  <c r="H143" i="3"/>
  <c r="F143" i="3"/>
  <c r="E143" i="3"/>
  <c r="K142" i="3"/>
  <c r="J142" i="3"/>
  <c r="I142" i="3"/>
  <c r="H142" i="3"/>
  <c r="G142" i="3"/>
  <c r="F142" i="3"/>
  <c r="E142" i="3"/>
  <c r="G141" i="3"/>
  <c r="G143" i="3" s="1"/>
  <c r="L140" i="3"/>
  <c r="L139" i="3"/>
  <c r="L138" i="3"/>
  <c r="L137" i="3"/>
  <c r="L136" i="3"/>
  <c r="L135" i="3"/>
  <c r="L134" i="3"/>
  <c r="L142" i="3" s="1"/>
  <c r="G145" i="3"/>
  <c r="L145" i="3" s="1"/>
  <c r="F109" i="15"/>
  <c r="F112" i="15" s="1"/>
  <c r="G109" i="15"/>
  <c r="G112" i="15" s="1"/>
  <c r="H109" i="15"/>
  <c r="I109" i="15"/>
  <c r="I112" i="15" s="1"/>
  <c r="F110" i="15"/>
  <c r="G110" i="15"/>
  <c r="H110" i="15"/>
  <c r="I110" i="15"/>
  <c r="F111" i="15"/>
  <c r="G111" i="15"/>
  <c r="H111" i="15"/>
  <c r="I111" i="15"/>
  <c r="H112" i="15"/>
  <c r="I77" i="15"/>
  <c r="I74" i="15"/>
  <c r="I71" i="15"/>
  <c r="I68" i="15"/>
  <c r="I62" i="15"/>
  <c r="I59" i="15"/>
  <c r="I56" i="15"/>
  <c r="I53" i="15"/>
  <c r="I50" i="15"/>
  <c r="I47" i="15"/>
  <c r="I44" i="15"/>
  <c r="I41" i="15"/>
  <c r="I32" i="15"/>
  <c r="I29" i="15"/>
  <c r="I26" i="15"/>
  <c r="I20" i="15"/>
  <c r="I14" i="15"/>
  <c r="I11" i="15"/>
  <c r="I8" i="15"/>
  <c r="H11" i="15"/>
  <c r="F14" i="15"/>
  <c r="F8" i="15"/>
  <c r="F26" i="15"/>
  <c r="E26" i="15"/>
  <c r="E110" i="15" s="1"/>
  <c r="E111" i="15"/>
  <c r="E109" i="15"/>
  <c r="I23" i="15"/>
  <c r="E20" i="15"/>
  <c r="E8" i="15"/>
  <c r="E14" i="15"/>
  <c r="F32" i="15"/>
  <c r="E29" i="15"/>
  <c r="I65" i="15"/>
  <c r="E65" i="15"/>
  <c r="F407" i="5"/>
  <c r="G407" i="5"/>
  <c r="H407" i="5"/>
  <c r="J407" i="5"/>
  <c r="K407" i="5"/>
  <c r="L407" i="5"/>
  <c r="E407" i="5"/>
  <c r="F394" i="5"/>
  <c r="G394" i="5"/>
  <c r="H394" i="5"/>
  <c r="I394" i="5"/>
  <c r="J394" i="5"/>
  <c r="K394" i="5"/>
  <c r="L394" i="5"/>
  <c r="M394" i="5"/>
  <c r="E394" i="5"/>
  <c r="F401" i="5"/>
  <c r="G401" i="5"/>
  <c r="H401" i="5"/>
  <c r="J401" i="5"/>
  <c r="K401" i="5"/>
  <c r="L401" i="5"/>
  <c r="F402" i="5"/>
  <c r="G402" i="5"/>
  <c r="H402" i="5"/>
  <c r="J402" i="5"/>
  <c r="K402" i="5"/>
  <c r="L402" i="5"/>
  <c r="F403" i="5"/>
  <c r="G403" i="5"/>
  <c r="H403" i="5"/>
  <c r="J403" i="5"/>
  <c r="K403" i="5"/>
  <c r="L403" i="5"/>
  <c r="F404" i="5"/>
  <c r="G404" i="5"/>
  <c r="H404" i="5"/>
  <c r="I404" i="5"/>
  <c r="J404" i="5"/>
  <c r="K404" i="5"/>
  <c r="L404" i="5"/>
  <c r="M404" i="5"/>
  <c r="E403" i="5"/>
  <c r="F399" i="5"/>
  <c r="G399" i="5"/>
  <c r="I399" i="5"/>
  <c r="J399" i="5"/>
  <c r="L399" i="5"/>
  <c r="E399" i="5"/>
  <c r="E402" i="5"/>
  <c r="E404" i="5"/>
  <c r="E401" i="5"/>
  <c r="F397" i="5"/>
  <c r="G397" i="5"/>
  <c r="I397" i="5"/>
  <c r="J397" i="5"/>
  <c r="L397" i="5"/>
  <c r="F398" i="5"/>
  <c r="G398" i="5"/>
  <c r="I398" i="5"/>
  <c r="J398" i="5"/>
  <c r="L398" i="5"/>
  <c r="F400" i="5"/>
  <c r="G400" i="5"/>
  <c r="H400" i="5"/>
  <c r="I400" i="5"/>
  <c r="J400" i="5"/>
  <c r="K400" i="5"/>
  <c r="L400" i="5"/>
  <c r="M400" i="5"/>
  <c r="E400" i="5"/>
  <c r="E398" i="5"/>
  <c r="E397" i="5"/>
  <c r="L352" i="5"/>
  <c r="K352" i="5"/>
  <c r="J352" i="5"/>
  <c r="H352" i="5"/>
  <c r="J350" i="5"/>
  <c r="J351" i="5" s="1"/>
  <c r="I350" i="5"/>
  <c r="L348" i="5"/>
  <c r="J348" i="5"/>
  <c r="I348" i="5"/>
  <c r="G348" i="5"/>
  <c r="F348" i="5"/>
  <c r="E348" i="5"/>
  <c r="I347" i="5"/>
  <c r="G347" i="5"/>
  <c r="L346" i="5"/>
  <c r="L347" i="5" s="1"/>
  <c r="K346" i="5"/>
  <c r="J346" i="5"/>
  <c r="J347" i="5" s="1"/>
  <c r="I346" i="5"/>
  <c r="H346" i="5"/>
  <c r="G346" i="5"/>
  <c r="F346" i="5"/>
  <c r="F347" i="5" s="1"/>
  <c r="E346" i="5"/>
  <c r="E347" i="5" s="1"/>
  <c r="M344" i="5"/>
  <c r="M343" i="5"/>
  <c r="K342" i="5"/>
  <c r="M342" i="5" s="1"/>
  <c r="M340" i="5"/>
  <c r="M339" i="5"/>
  <c r="M338" i="5"/>
  <c r="M337" i="5"/>
  <c r="M336" i="5"/>
  <c r="M334" i="5"/>
  <c r="M333" i="5"/>
  <c r="M331" i="5"/>
  <c r="M330" i="5"/>
  <c r="M329" i="5"/>
  <c r="M327" i="5"/>
  <c r="M326" i="5"/>
  <c r="M325" i="5"/>
  <c r="M324" i="5"/>
  <c r="M322" i="5"/>
  <c r="M321" i="5"/>
  <c r="M319" i="5"/>
  <c r="M317" i="5"/>
  <c r="H316" i="5"/>
  <c r="M316" i="5" s="1"/>
  <c r="M314" i="5"/>
  <c r="M312" i="5"/>
  <c r="M311" i="5"/>
  <c r="M310" i="5"/>
  <c r="M309" i="5"/>
  <c r="M308" i="5"/>
  <c r="M306" i="5"/>
  <c r="M305" i="5"/>
  <c r="M304" i="5"/>
  <c r="G304" i="5"/>
  <c r="M303" i="5"/>
  <c r="M302" i="5"/>
  <c r="H301" i="5"/>
  <c r="M301" i="5" s="1"/>
  <c r="F300" i="5"/>
  <c r="M300" i="5" s="1"/>
  <c r="E300" i="5"/>
  <c r="M299" i="5"/>
  <c r="M298" i="5"/>
  <c r="M297" i="5"/>
  <c r="K296" i="5"/>
  <c r="M296" i="5" s="1"/>
  <c r="M295" i="5"/>
  <c r="M294" i="5"/>
  <c r="M293" i="5"/>
  <c r="M292" i="5"/>
  <c r="K292" i="5"/>
  <c r="H292" i="5"/>
  <c r="H350" i="5" s="1"/>
  <c r="H351" i="5" s="1"/>
  <c r="M291" i="5"/>
  <c r="M290" i="5"/>
  <c r="M289" i="5"/>
  <c r="M288" i="5"/>
  <c r="M286" i="5"/>
  <c r="M285" i="5"/>
  <c r="L284" i="5"/>
  <c r="M284" i="5" s="1"/>
  <c r="H284" i="5"/>
  <c r="M282" i="5"/>
  <c r="M281" i="5"/>
  <c r="M280" i="5"/>
  <c r="M278" i="5"/>
  <c r="M277" i="5"/>
  <c r="M274" i="5"/>
  <c r="M273" i="5"/>
  <c r="M272" i="5"/>
  <c r="M269" i="5"/>
  <c r="M268" i="5"/>
  <c r="M267" i="5"/>
  <c r="K266" i="5"/>
  <c r="F266" i="5"/>
  <c r="E266" i="5"/>
  <c r="M266" i="5" s="1"/>
  <c r="I265" i="5"/>
  <c r="M265" i="5" s="1"/>
  <c r="M264" i="5"/>
  <c r="M263" i="5"/>
  <c r="G262" i="5"/>
  <c r="M262" i="5" s="1"/>
  <c r="M261" i="5"/>
  <c r="M260" i="5"/>
  <c r="M259" i="5"/>
  <c r="M258" i="5"/>
  <c r="G257" i="5"/>
  <c r="F257" i="5"/>
  <c r="F350" i="5" s="1"/>
  <c r="E257" i="5"/>
  <c r="E350" i="5" s="1"/>
  <c r="M256" i="5"/>
  <c r="M255" i="5"/>
  <c r="M252" i="5"/>
  <c r="M251" i="5"/>
  <c r="M250" i="5"/>
  <c r="M248" i="5"/>
  <c r="M246" i="5"/>
  <c r="M244" i="5"/>
  <c r="M242" i="5"/>
  <c r="M241" i="5"/>
  <c r="K240" i="5"/>
  <c r="M240" i="5" s="1"/>
  <c r="G239" i="5"/>
  <c r="M239" i="5" s="1"/>
  <c r="M238" i="5"/>
  <c r="M237" i="5"/>
  <c r="M236" i="5"/>
  <c r="M234" i="5"/>
  <c r="M233" i="5"/>
  <c r="M230" i="5"/>
  <c r="M229" i="5"/>
  <c r="M167" i="5"/>
  <c r="M163" i="5"/>
  <c r="M160" i="5"/>
  <c r="M159" i="5"/>
  <c r="M154" i="5"/>
  <c r="M150" i="5"/>
  <c r="M147" i="5"/>
  <c r="M142" i="5"/>
  <c r="M139" i="5"/>
  <c r="M131" i="5"/>
  <c r="M127" i="5"/>
  <c r="M126" i="5"/>
  <c r="M123" i="5"/>
  <c r="M119" i="5"/>
  <c r="M118" i="5"/>
  <c r="M115" i="5"/>
  <c r="M114" i="5"/>
  <c r="M111" i="5"/>
  <c r="M107" i="5"/>
  <c r="M103" i="5"/>
  <c r="M97" i="5"/>
  <c r="M92" i="5"/>
  <c r="M89" i="5"/>
  <c r="M88" i="5"/>
  <c r="M85" i="5"/>
  <c r="M84" i="5"/>
  <c r="M81" i="5"/>
  <c r="M80" i="5"/>
  <c r="M75" i="5"/>
  <c r="M71" i="5"/>
  <c r="M67" i="5"/>
  <c r="M63" i="5"/>
  <c r="M62" i="5"/>
  <c r="M59" i="5"/>
  <c r="L107" i="5"/>
  <c r="K119" i="5"/>
  <c r="K115" i="5"/>
  <c r="L141" i="3" l="1"/>
  <c r="L143" i="3" s="1"/>
  <c r="K348" i="5"/>
  <c r="K347" i="5" s="1"/>
  <c r="M346" i="5"/>
  <c r="H348" i="5"/>
  <c r="H347" i="5" s="1"/>
  <c r="M348" i="5"/>
  <c r="F351" i="5"/>
  <c r="E351" i="5"/>
  <c r="G350" i="5"/>
  <c r="G351" i="5" s="1"/>
  <c r="E352" i="5"/>
  <c r="F352" i="5"/>
  <c r="G352" i="5"/>
  <c r="M257" i="5"/>
  <c r="M352" i="5" s="1"/>
  <c r="K350" i="5"/>
  <c r="K351" i="5" s="1"/>
  <c r="I352" i="5"/>
  <c r="I351" i="5" s="1"/>
  <c r="L350" i="5"/>
  <c r="L351" i="5" s="1"/>
  <c r="M347" i="5" l="1"/>
  <c r="M350" i="5"/>
  <c r="M351" i="5" s="1"/>
  <c r="K89" i="5" l="1"/>
  <c r="K63" i="5"/>
  <c r="I88" i="5"/>
  <c r="H77" i="15"/>
  <c r="H139" i="5"/>
  <c r="H115" i="5"/>
  <c r="H107" i="5"/>
  <c r="G173" i="5"/>
  <c r="G85" i="5"/>
  <c r="G62" i="5"/>
  <c r="G127" i="5"/>
  <c r="E80" i="5"/>
  <c r="G80" i="5"/>
  <c r="F80" i="5"/>
  <c r="F123" i="5"/>
  <c r="E123" i="5"/>
  <c r="F89" i="5"/>
  <c r="E89" i="5"/>
  <c r="N25" i="8" l="1"/>
  <c r="G33" i="3"/>
  <c r="G37" i="5"/>
  <c r="M37" i="5"/>
  <c r="L33" i="3"/>
  <c r="N23" i="8" s="1"/>
  <c r="K33" i="3"/>
  <c r="D25" i="8"/>
  <c r="D23" i="8"/>
  <c r="F37" i="5"/>
  <c r="H37" i="5"/>
  <c r="I37" i="5"/>
  <c r="J37" i="5"/>
  <c r="K37" i="5"/>
  <c r="L37" i="5"/>
  <c r="E37" i="5"/>
  <c r="M35" i="5"/>
  <c r="M33" i="5"/>
  <c r="G33" i="5"/>
  <c r="F33" i="5"/>
  <c r="E33" i="5"/>
  <c r="N22" i="8"/>
  <c r="L31" i="3"/>
  <c r="G31" i="3"/>
  <c r="G29" i="3"/>
  <c r="D22" i="8"/>
  <c r="M31" i="5"/>
  <c r="F31" i="5"/>
  <c r="E31" i="5"/>
  <c r="D21" i="8"/>
  <c r="L29" i="3"/>
  <c r="N21" i="8" s="1"/>
  <c r="E89" i="15"/>
  <c r="M29" i="5"/>
  <c r="G29" i="5"/>
  <c r="F29" i="5"/>
  <c r="E29" i="5"/>
  <c r="N20" i="8"/>
  <c r="L37" i="14"/>
  <c r="D20" i="8"/>
  <c r="E112" i="15"/>
  <c r="I89" i="15"/>
  <c r="L27" i="3"/>
  <c r="G27" i="3"/>
  <c r="M27" i="5"/>
  <c r="G27" i="5"/>
  <c r="F27" i="5"/>
  <c r="E27" i="5"/>
  <c r="L37" i="3" l="1"/>
  <c r="N28" i="8" l="1"/>
  <c r="L41" i="14"/>
  <c r="G96" i="3"/>
  <c r="D28" i="8"/>
  <c r="I83" i="15"/>
  <c r="E83" i="15"/>
  <c r="M379" i="5"/>
  <c r="F379" i="5"/>
  <c r="E379" i="5"/>
  <c r="M214" i="5"/>
  <c r="F214" i="5"/>
  <c r="E214" i="5"/>
  <c r="L39" i="14"/>
  <c r="N27" i="8" s="1"/>
  <c r="L88" i="3"/>
  <c r="G86" i="3"/>
  <c r="M372" i="5"/>
  <c r="F372" i="5"/>
  <c r="E372" i="5"/>
  <c r="F367" i="5"/>
  <c r="E367" i="5"/>
  <c r="M367" i="5" s="1"/>
  <c r="M365" i="5"/>
  <c r="M364" i="5"/>
  <c r="M363" i="5"/>
  <c r="M362" i="5"/>
  <c r="F360" i="5"/>
  <c r="M360" i="5" s="1"/>
  <c r="E360" i="5"/>
  <c r="M359" i="5"/>
  <c r="M358" i="5"/>
  <c r="M356" i="5"/>
  <c r="F356" i="5"/>
  <c r="E356" i="5"/>
  <c r="M355" i="5"/>
  <c r="M354" i="5"/>
  <c r="M201" i="5"/>
  <c r="D27" i="8" s="1"/>
  <c r="F201" i="5"/>
  <c r="E201" i="5"/>
  <c r="C27" i="8"/>
  <c r="M198" i="5"/>
  <c r="M197" i="5"/>
  <c r="M196" i="5"/>
  <c r="F196" i="5"/>
  <c r="E196" i="5"/>
  <c r="M189" i="5"/>
  <c r="F189" i="5"/>
  <c r="E189" i="5"/>
  <c r="M185" i="5"/>
  <c r="F185" i="5"/>
  <c r="E185" i="5"/>
  <c r="I80" i="15" l="1"/>
  <c r="E80" i="15"/>
  <c r="M192" i="5"/>
  <c r="L6" i="2"/>
  <c r="M37" i="2"/>
  <c r="C25" i="2"/>
  <c r="I119" i="15"/>
  <c r="F393" i="5"/>
  <c r="G393" i="5"/>
  <c r="H393" i="5"/>
  <c r="I393" i="5"/>
  <c r="J393" i="5"/>
  <c r="K393" i="5"/>
  <c r="L393" i="5"/>
  <c r="M393" i="5"/>
  <c r="Q7" i="2" s="1"/>
  <c r="E393" i="5"/>
  <c r="H387" i="5"/>
  <c r="H388" i="5"/>
  <c r="F389" i="5"/>
  <c r="G389" i="5"/>
  <c r="H389" i="5"/>
  <c r="I389" i="5"/>
  <c r="J389" i="5"/>
  <c r="K389" i="5"/>
  <c r="L389" i="5"/>
  <c r="M389" i="5"/>
  <c r="E389" i="5"/>
  <c r="E388" i="5"/>
  <c r="M375" i="5"/>
  <c r="L375" i="5"/>
  <c r="K375" i="5"/>
  <c r="J375" i="5"/>
  <c r="I375" i="5"/>
  <c r="H375" i="5"/>
  <c r="G375" i="5"/>
  <c r="F375" i="5"/>
  <c r="E375" i="5"/>
  <c r="M373" i="5"/>
  <c r="M392" i="5" s="1"/>
  <c r="L372" i="5"/>
  <c r="L373" i="5" s="1"/>
  <c r="K372" i="5"/>
  <c r="K373" i="5" s="1"/>
  <c r="J372" i="5"/>
  <c r="J373" i="5" s="1"/>
  <c r="I372" i="5"/>
  <c r="I373" i="5" s="1"/>
  <c r="H372" i="5"/>
  <c r="H373" i="5" s="1"/>
  <c r="G372" i="5"/>
  <c r="G373" i="5" s="1"/>
  <c r="F373" i="5"/>
  <c r="E373" i="5"/>
  <c r="L371" i="5"/>
  <c r="L390" i="5" s="1"/>
  <c r="K371" i="5"/>
  <c r="K390" i="5" s="1"/>
  <c r="J371" i="5"/>
  <c r="J390" i="5" s="1"/>
  <c r="I371" i="5"/>
  <c r="I390" i="5" s="1"/>
  <c r="H371" i="5"/>
  <c r="H390" i="5" s="1"/>
  <c r="G371" i="5"/>
  <c r="G390" i="5" s="1"/>
  <c r="F371" i="5"/>
  <c r="F390" i="5" s="1"/>
  <c r="E371" i="5"/>
  <c r="E390" i="5" s="1"/>
  <c r="L369" i="5"/>
  <c r="L388" i="5" s="1"/>
  <c r="K369" i="5"/>
  <c r="K388" i="5" s="1"/>
  <c r="J369" i="5"/>
  <c r="J388" i="5" s="1"/>
  <c r="I369" i="5"/>
  <c r="I388" i="5" s="1"/>
  <c r="H369" i="5"/>
  <c r="G369" i="5"/>
  <c r="G388" i="5" s="1"/>
  <c r="F369" i="5"/>
  <c r="F388" i="5" s="1"/>
  <c r="E369" i="5"/>
  <c r="L368" i="5"/>
  <c r="L370" i="5" s="1"/>
  <c r="K368" i="5"/>
  <c r="K387" i="5" s="1"/>
  <c r="J368" i="5"/>
  <c r="J387" i="5" s="1"/>
  <c r="I368" i="5"/>
  <c r="I370" i="5" s="1"/>
  <c r="H368" i="5"/>
  <c r="H370" i="5" s="1"/>
  <c r="G368" i="5"/>
  <c r="G370" i="5" s="1"/>
  <c r="F368" i="5"/>
  <c r="F370" i="5" s="1"/>
  <c r="E368" i="5"/>
  <c r="E370" i="5" s="1"/>
  <c r="M371" i="5"/>
  <c r="M390" i="5" s="1"/>
  <c r="M369" i="5"/>
  <c r="M388" i="5" s="1"/>
  <c r="M386" i="5"/>
  <c r="L386" i="5"/>
  <c r="K386" i="5"/>
  <c r="J386" i="5"/>
  <c r="I386" i="5"/>
  <c r="H386" i="5"/>
  <c r="G386" i="5"/>
  <c r="F386" i="5"/>
  <c r="E386" i="5"/>
  <c r="M385" i="5"/>
  <c r="L385" i="5"/>
  <c r="L392" i="5" s="1"/>
  <c r="K385" i="5"/>
  <c r="J385" i="5"/>
  <c r="I385" i="5"/>
  <c r="H385" i="5"/>
  <c r="G385" i="5"/>
  <c r="F385" i="5"/>
  <c r="E385" i="5"/>
  <c r="M384" i="5"/>
  <c r="L384" i="5"/>
  <c r="L391" i="5" s="1"/>
  <c r="K384" i="5"/>
  <c r="J384" i="5"/>
  <c r="I384" i="5"/>
  <c r="H384" i="5"/>
  <c r="G384" i="5"/>
  <c r="F384" i="5"/>
  <c r="E384" i="5"/>
  <c r="M383" i="5"/>
  <c r="L383" i="5"/>
  <c r="K383" i="5"/>
  <c r="J383" i="5"/>
  <c r="I383" i="5"/>
  <c r="H383" i="5"/>
  <c r="G383" i="5"/>
  <c r="F383" i="5"/>
  <c r="E383" i="5"/>
  <c r="L382" i="5"/>
  <c r="K382" i="5"/>
  <c r="J382" i="5"/>
  <c r="I382" i="5"/>
  <c r="H382" i="5"/>
  <c r="G382" i="5"/>
  <c r="F382" i="5"/>
  <c r="E382" i="5"/>
  <c r="L381" i="5"/>
  <c r="K381" i="5"/>
  <c r="J381" i="5"/>
  <c r="I381" i="5"/>
  <c r="H381" i="5"/>
  <c r="G381" i="5"/>
  <c r="F381" i="5"/>
  <c r="E381" i="5"/>
  <c r="M377" i="5"/>
  <c r="M381" i="5" s="1"/>
  <c r="I121" i="15" l="1"/>
  <c r="G392" i="5"/>
  <c r="H392" i="5"/>
  <c r="I392" i="5"/>
  <c r="J392" i="5"/>
  <c r="K392" i="5"/>
  <c r="E392" i="5"/>
  <c r="F392" i="5"/>
  <c r="F387" i="5"/>
  <c r="K391" i="5"/>
  <c r="G387" i="5"/>
  <c r="J391" i="5"/>
  <c r="E391" i="5"/>
  <c r="I391" i="5"/>
  <c r="I407" i="5" s="1"/>
  <c r="J370" i="5"/>
  <c r="L387" i="5"/>
  <c r="H391" i="5"/>
  <c r="G391" i="5"/>
  <c r="F391" i="5"/>
  <c r="E387" i="5"/>
  <c r="E406" i="5" s="1"/>
  <c r="I387" i="5"/>
  <c r="M391" i="5"/>
  <c r="K370" i="5"/>
  <c r="M368" i="5"/>
  <c r="M382" i="5"/>
  <c r="F219" i="5"/>
  <c r="G219" i="5"/>
  <c r="H219" i="5"/>
  <c r="I219" i="5"/>
  <c r="J219" i="5"/>
  <c r="K219" i="5"/>
  <c r="L219" i="5"/>
  <c r="M219" i="5"/>
  <c r="F220" i="5"/>
  <c r="G220" i="5"/>
  <c r="H220" i="5"/>
  <c r="I220" i="5"/>
  <c r="J220" i="5"/>
  <c r="K220" i="5"/>
  <c r="L220" i="5"/>
  <c r="M220" i="5"/>
  <c r="F221" i="5"/>
  <c r="G221" i="5"/>
  <c r="H221" i="5"/>
  <c r="I221" i="5"/>
  <c r="J221" i="5"/>
  <c r="K221" i="5"/>
  <c r="L221" i="5"/>
  <c r="M221" i="5"/>
  <c r="E221" i="5"/>
  <c r="E220" i="5"/>
  <c r="E219" i="5"/>
  <c r="F216" i="5"/>
  <c r="G216" i="5"/>
  <c r="H216" i="5"/>
  <c r="I216" i="5"/>
  <c r="J216" i="5"/>
  <c r="K216" i="5"/>
  <c r="L216" i="5"/>
  <c r="F217" i="5"/>
  <c r="G217" i="5"/>
  <c r="H217" i="5"/>
  <c r="I217" i="5"/>
  <c r="J217" i="5"/>
  <c r="K217" i="5"/>
  <c r="L217" i="5"/>
  <c r="F218" i="5"/>
  <c r="G218" i="5"/>
  <c r="H218" i="5"/>
  <c r="I218" i="5"/>
  <c r="J218" i="5"/>
  <c r="K218" i="5"/>
  <c r="L218" i="5"/>
  <c r="M218" i="5"/>
  <c r="E218" i="5"/>
  <c r="E217" i="5"/>
  <c r="E216" i="5"/>
  <c r="F202" i="5"/>
  <c r="G201" i="5"/>
  <c r="G202" i="5" s="1"/>
  <c r="H201" i="5"/>
  <c r="I201" i="5"/>
  <c r="I202" i="5" s="1"/>
  <c r="J201" i="5"/>
  <c r="J202" i="5" s="1"/>
  <c r="K201" i="5"/>
  <c r="K202" i="5" s="1"/>
  <c r="L201" i="5"/>
  <c r="L202" i="5" s="1"/>
  <c r="M202" i="5"/>
  <c r="H202" i="5"/>
  <c r="F204" i="5"/>
  <c r="G204" i="5"/>
  <c r="H204" i="5"/>
  <c r="I204" i="5"/>
  <c r="J204" i="5"/>
  <c r="K204" i="5"/>
  <c r="L204" i="5"/>
  <c r="M204" i="5"/>
  <c r="E204" i="5"/>
  <c r="E202" i="5"/>
  <c r="F197" i="5"/>
  <c r="G197" i="5"/>
  <c r="G199" i="5" s="1"/>
  <c r="H197" i="5"/>
  <c r="I197" i="5"/>
  <c r="J197" i="5"/>
  <c r="K197" i="5"/>
  <c r="L197" i="5"/>
  <c r="F198" i="5"/>
  <c r="F199" i="5" s="1"/>
  <c r="G198" i="5"/>
  <c r="H198" i="5"/>
  <c r="I198" i="5"/>
  <c r="I199" i="5" s="1"/>
  <c r="J198" i="5"/>
  <c r="K198" i="5"/>
  <c r="L198" i="5"/>
  <c r="J199" i="5"/>
  <c r="F200" i="5"/>
  <c r="G200" i="5"/>
  <c r="H200" i="5"/>
  <c r="I200" i="5"/>
  <c r="J200" i="5"/>
  <c r="K200" i="5"/>
  <c r="L200" i="5"/>
  <c r="E198" i="5"/>
  <c r="E197" i="5"/>
  <c r="F173" i="5"/>
  <c r="H173" i="5"/>
  <c r="I173" i="5"/>
  <c r="I401" i="5" s="1"/>
  <c r="J173" i="5"/>
  <c r="K173" i="5"/>
  <c r="L173" i="5"/>
  <c r="F175" i="5"/>
  <c r="G175" i="5"/>
  <c r="H175" i="5"/>
  <c r="I175" i="5"/>
  <c r="I403" i="5" s="1"/>
  <c r="J175" i="5"/>
  <c r="K175" i="5"/>
  <c r="L175" i="5"/>
  <c r="E175" i="5"/>
  <c r="E173" i="5"/>
  <c r="E174" i="5" s="1"/>
  <c r="G171" i="5"/>
  <c r="F171" i="5"/>
  <c r="I171" i="5"/>
  <c r="J171" i="5"/>
  <c r="L171" i="5"/>
  <c r="E171" i="5"/>
  <c r="G169" i="5"/>
  <c r="E169" i="5"/>
  <c r="F169" i="5"/>
  <c r="I169" i="5"/>
  <c r="J169" i="5"/>
  <c r="L169" i="5"/>
  <c r="M14" i="5"/>
  <c r="F43" i="5"/>
  <c r="G43" i="5"/>
  <c r="H43" i="5"/>
  <c r="I43" i="5"/>
  <c r="J43" i="5"/>
  <c r="K43" i="5"/>
  <c r="L43" i="5"/>
  <c r="E43" i="5"/>
  <c r="F20" i="5"/>
  <c r="G20" i="5"/>
  <c r="H20" i="5"/>
  <c r="I20" i="5"/>
  <c r="J20" i="5"/>
  <c r="K20" i="5"/>
  <c r="L20" i="5"/>
  <c r="E20" i="5"/>
  <c r="J45" i="14"/>
  <c r="F44" i="14"/>
  <c r="F45" i="14" s="1"/>
  <c r="G44" i="14"/>
  <c r="G45" i="14" s="1"/>
  <c r="H44" i="14"/>
  <c r="H45" i="14" s="1"/>
  <c r="I44" i="14"/>
  <c r="I45" i="14" s="1"/>
  <c r="J44" i="14"/>
  <c r="K44" i="14"/>
  <c r="K45" i="14" s="1"/>
  <c r="L44" i="14"/>
  <c r="L45" i="14" s="1"/>
  <c r="E44" i="14"/>
  <c r="E45" i="14" s="1"/>
  <c r="J43" i="14"/>
  <c r="F42" i="14"/>
  <c r="F43" i="14" s="1"/>
  <c r="G42" i="14"/>
  <c r="G43" i="14" s="1"/>
  <c r="H42" i="14"/>
  <c r="H43" i="14" s="1"/>
  <c r="I42" i="14"/>
  <c r="I43" i="14" s="1"/>
  <c r="J42" i="14"/>
  <c r="K42" i="14"/>
  <c r="K43" i="14" s="1"/>
  <c r="E42" i="14"/>
  <c r="E43" i="14" s="1"/>
  <c r="F149" i="3"/>
  <c r="K149" i="3"/>
  <c r="F148" i="3"/>
  <c r="G148" i="3"/>
  <c r="H148" i="3"/>
  <c r="I148" i="3"/>
  <c r="J148" i="3"/>
  <c r="K148" i="3"/>
  <c r="L148" i="3"/>
  <c r="E148" i="3"/>
  <c r="L147" i="3"/>
  <c r="L149" i="3" s="1"/>
  <c r="K147" i="3"/>
  <c r="J147" i="3"/>
  <c r="J149" i="3" s="1"/>
  <c r="I147" i="3"/>
  <c r="I149" i="3" s="1"/>
  <c r="H147" i="3"/>
  <c r="H149" i="3" s="1"/>
  <c r="G147" i="3"/>
  <c r="G149" i="3" s="1"/>
  <c r="F147" i="3"/>
  <c r="E147" i="3"/>
  <c r="E149" i="3" s="1"/>
  <c r="L146" i="3"/>
  <c r="J146" i="3"/>
  <c r="G146" i="3"/>
  <c r="E146" i="3"/>
  <c r="L144" i="3"/>
  <c r="L96" i="3"/>
  <c r="L98" i="3" s="1"/>
  <c r="L95" i="3"/>
  <c r="L80" i="3"/>
  <c r="L81" i="3"/>
  <c r="L82" i="3"/>
  <c r="L83" i="3"/>
  <c r="L84" i="3"/>
  <c r="L86" i="3"/>
  <c r="L79" i="3"/>
  <c r="F98" i="3"/>
  <c r="G98" i="3"/>
  <c r="H98" i="3"/>
  <c r="I98" i="3"/>
  <c r="J98" i="3"/>
  <c r="K98" i="3"/>
  <c r="E98" i="3"/>
  <c r="F88" i="3"/>
  <c r="G88" i="3"/>
  <c r="H88" i="3"/>
  <c r="I88" i="3"/>
  <c r="J88" i="3"/>
  <c r="K88" i="3"/>
  <c r="E88" i="3"/>
  <c r="F87" i="3"/>
  <c r="H87" i="3"/>
  <c r="I87" i="3"/>
  <c r="J87" i="3"/>
  <c r="K87" i="3"/>
  <c r="E87" i="3"/>
  <c r="F72" i="3"/>
  <c r="G72" i="3"/>
  <c r="H72" i="3"/>
  <c r="I72" i="3"/>
  <c r="J72" i="3"/>
  <c r="K72" i="3"/>
  <c r="E72" i="3"/>
  <c r="K71" i="3"/>
  <c r="L47" i="3"/>
  <c r="F71" i="3"/>
  <c r="G71" i="3"/>
  <c r="H71" i="3"/>
  <c r="I71" i="3"/>
  <c r="J71" i="3"/>
  <c r="E71" i="3"/>
  <c r="F37" i="3"/>
  <c r="F39" i="3" s="1"/>
  <c r="G37" i="3"/>
  <c r="G39" i="3" s="1"/>
  <c r="H37" i="3"/>
  <c r="H39" i="3" s="1"/>
  <c r="I37" i="3"/>
  <c r="I39" i="3" s="1"/>
  <c r="J37" i="3"/>
  <c r="J39" i="3" s="1"/>
  <c r="K37" i="3"/>
  <c r="K39" i="3" s="1"/>
  <c r="E37" i="3"/>
  <c r="E39" i="3" s="1"/>
  <c r="F21" i="3"/>
  <c r="G21" i="3"/>
  <c r="H21" i="3"/>
  <c r="I21" i="3"/>
  <c r="J21" i="3"/>
  <c r="K21" i="3"/>
  <c r="L21" i="3"/>
  <c r="E21" i="3"/>
  <c r="F20" i="3"/>
  <c r="H20" i="3"/>
  <c r="I20" i="3"/>
  <c r="J20" i="3"/>
  <c r="K20" i="3"/>
  <c r="E20" i="3"/>
  <c r="O7" i="2" l="1"/>
  <c r="M407" i="5"/>
  <c r="H174" i="5"/>
  <c r="G174" i="5"/>
  <c r="M370" i="5"/>
  <c r="M387" i="5"/>
  <c r="K174" i="5"/>
  <c r="K199" i="5"/>
  <c r="H199" i="5"/>
  <c r="J174" i="5"/>
  <c r="I174" i="5"/>
  <c r="I402" i="5" s="1"/>
  <c r="L199" i="5"/>
  <c r="F174" i="5"/>
  <c r="L174" i="5"/>
  <c r="L23" i="3"/>
  <c r="N17" i="8" s="1"/>
  <c r="G23" i="3"/>
  <c r="D17" i="8"/>
  <c r="F105" i="15"/>
  <c r="F108" i="15" s="1"/>
  <c r="G105" i="15"/>
  <c r="G108" i="15" s="1"/>
  <c r="H105" i="15"/>
  <c r="H108" i="15" s="1"/>
  <c r="F106" i="15"/>
  <c r="G106" i="15"/>
  <c r="H106" i="15"/>
  <c r="F107" i="15"/>
  <c r="G107" i="15"/>
  <c r="H107" i="15"/>
  <c r="E106" i="15"/>
  <c r="E105" i="15"/>
  <c r="E108" i="15" s="1"/>
  <c r="I104" i="15"/>
  <c r="M23" i="5"/>
  <c r="L25" i="3" l="1"/>
  <c r="L39" i="3" s="1"/>
  <c r="G25" i="3"/>
  <c r="I92" i="15"/>
  <c r="M25" i="5"/>
  <c r="M43" i="5" s="1"/>
  <c r="F21" i="5"/>
  <c r="F41" i="5" s="1"/>
  <c r="F42" i="5" s="1"/>
  <c r="G21" i="5"/>
  <c r="G41" i="5" s="1"/>
  <c r="G42" i="5" s="1"/>
  <c r="H21" i="5"/>
  <c r="H41" i="5" s="1"/>
  <c r="H42" i="5" s="1"/>
  <c r="I21" i="5"/>
  <c r="I41" i="5" s="1"/>
  <c r="I42" i="5" s="1"/>
  <c r="J21" i="5"/>
  <c r="J41" i="5" s="1"/>
  <c r="J42" i="5" s="1"/>
  <c r="K21" i="5"/>
  <c r="K41" i="5" s="1"/>
  <c r="K42" i="5" s="1"/>
  <c r="L21" i="5"/>
  <c r="L41" i="5" s="1"/>
  <c r="L42" i="5" s="1"/>
  <c r="E21" i="5"/>
  <c r="E41" i="5" s="1"/>
  <c r="E42" i="5" s="1"/>
  <c r="G15" i="3"/>
  <c r="L15" i="3" s="1"/>
  <c r="N11" i="8" s="1"/>
  <c r="N14" i="8" s="1"/>
  <c r="N13" i="8"/>
  <c r="G19" i="3"/>
  <c r="L19" i="3"/>
  <c r="I101" i="15"/>
  <c r="M19" i="5"/>
  <c r="D13" i="8" s="1"/>
  <c r="N12" i="8"/>
  <c r="L17" i="3"/>
  <c r="G17" i="3"/>
  <c r="M17" i="5"/>
  <c r="D12" i="8" s="1"/>
  <c r="I98" i="15"/>
  <c r="M15" i="5"/>
  <c r="D11" i="8" s="1"/>
  <c r="N10" i="8"/>
  <c r="L13" i="3"/>
  <c r="G13" i="3"/>
  <c r="M13" i="5"/>
  <c r="D10" i="8" s="1"/>
  <c r="N9" i="8"/>
  <c r="G11" i="3"/>
  <c r="L11" i="3"/>
  <c r="D9" i="8"/>
  <c r="I95" i="15"/>
  <c r="M11" i="5"/>
  <c r="N8" i="8"/>
  <c r="L9" i="3"/>
  <c r="G9" i="3"/>
  <c r="M9" i="5"/>
  <c r="D8" i="8" s="1"/>
  <c r="N7" i="8"/>
  <c r="G7" i="3"/>
  <c r="D16" i="8" l="1"/>
  <c r="D18" i="8" s="1"/>
  <c r="L7" i="3"/>
  <c r="M7" i="5"/>
  <c r="M21" i="5" s="1"/>
  <c r="M41" i="5" s="1"/>
  <c r="M42" i="5" s="1"/>
  <c r="D7" i="8" l="1"/>
  <c r="D14" i="8" s="1"/>
  <c r="O29" i="8"/>
  <c r="O26" i="8"/>
  <c r="O14" i="8"/>
  <c r="P15" i="8"/>
  <c r="P19" i="8"/>
  <c r="Y16" i="2" l="1"/>
  <c r="U18" i="2"/>
  <c r="O11" i="2"/>
  <c r="P11" i="2" s="1"/>
  <c r="P12" i="2"/>
  <c r="O13" i="2"/>
  <c r="P13" i="2" s="1"/>
  <c r="G35" i="2"/>
  <c r="G19" i="2"/>
  <c r="F20" i="2"/>
  <c r="F21" i="2"/>
  <c r="G21" i="2" s="1"/>
  <c r="F22" i="2"/>
  <c r="G22" i="2" s="1"/>
  <c r="G23" i="2"/>
  <c r="H23" i="2" s="1"/>
  <c r="F24" i="2"/>
  <c r="G24" i="2" s="1"/>
  <c r="H25" i="2"/>
  <c r="G28" i="2"/>
  <c r="G31" i="2"/>
  <c r="H32" i="2"/>
  <c r="Q8" i="2" l="1"/>
  <c r="Q36" i="2" s="1"/>
  <c r="P6" i="2"/>
  <c r="P9" i="2"/>
  <c r="F32" i="2"/>
  <c r="G25" i="2"/>
  <c r="H22" i="2"/>
  <c r="G30" i="2"/>
  <c r="G32" i="2" s="1"/>
  <c r="G20" i="2"/>
  <c r="H20" i="2" s="1"/>
  <c r="G15" i="2"/>
  <c r="G17" i="2" s="1"/>
  <c r="H24" i="2"/>
  <c r="H21" i="2"/>
  <c r="N33" i="19"/>
  <c r="M33" i="19"/>
  <c r="M23" i="19"/>
  <c r="N23" i="19"/>
  <c r="N29" i="19"/>
  <c r="B33" i="19"/>
  <c r="M22" i="19"/>
  <c r="O16" i="19"/>
  <c r="K36" i="14" l="1"/>
  <c r="E85" i="15"/>
  <c r="E44" i="20" l="1"/>
  <c r="D44" i="20"/>
  <c r="C44" i="20"/>
  <c r="L31" i="19"/>
  <c r="E19" i="2"/>
  <c r="M31" i="19" l="1"/>
  <c r="H22" i="19"/>
  <c r="H21" i="19"/>
  <c r="M21" i="19"/>
  <c r="L21" i="19"/>
  <c r="K21" i="19"/>
  <c r="J21" i="19"/>
  <c r="I21" i="19"/>
  <c r="G21" i="19"/>
  <c r="F21" i="19"/>
  <c r="E21" i="19"/>
  <c r="D21" i="19"/>
  <c r="C21" i="19"/>
  <c r="B21" i="19"/>
  <c r="L18" i="3"/>
  <c r="L16" i="3"/>
  <c r="L14" i="3"/>
  <c r="L12" i="3"/>
  <c r="L10" i="3"/>
  <c r="L8" i="3"/>
  <c r="L6" i="3"/>
  <c r="L20" i="3" s="1"/>
  <c r="D27" i="19" l="1"/>
  <c r="C45" i="49"/>
  <c r="D39" i="50" l="1"/>
  <c r="G27" i="50"/>
  <c r="D27" i="50"/>
  <c r="E39" i="20" l="1"/>
  <c r="D39" i="20"/>
  <c r="C39" i="20"/>
  <c r="H14" i="19"/>
  <c r="N17" i="19"/>
  <c r="E27" i="19"/>
  <c r="G15" i="19"/>
  <c r="X9" i="2"/>
  <c r="C26" i="49"/>
  <c r="C25" i="49" l="1"/>
  <c r="C27" i="49" l="1"/>
  <c r="E24" i="20" l="1"/>
  <c r="D24" i="20"/>
  <c r="C24" i="20"/>
  <c r="J27" i="19"/>
  <c r="M29" i="19" l="1"/>
  <c r="L29" i="19"/>
  <c r="K29" i="19"/>
  <c r="I29" i="19"/>
  <c r="H29" i="19"/>
  <c r="C25" i="19"/>
  <c r="C23" i="19"/>
  <c r="H10" i="19"/>
  <c r="G10" i="19"/>
  <c r="F10" i="19"/>
  <c r="E10" i="19"/>
  <c r="D10" i="19"/>
  <c r="C10" i="19"/>
  <c r="D19" i="2"/>
  <c r="E15" i="33" l="1"/>
  <c r="D15" i="33"/>
  <c r="E12" i="33"/>
  <c r="D12" i="33"/>
  <c r="C15" i="33"/>
  <c r="C12" i="33"/>
  <c r="E29" i="19" l="1"/>
  <c r="F27" i="19"/>
  <c r="T14" i="2"/>
  <c r="X16" i="2"/>
  <c r="E25" i="2"/>
  <c r="P365" i="5" l="1"/>
  <c r="F25" i="19" l="1"/>
  <c r="K23" i="19"/>
  <c r="F22" i="3" l="1"/>
  <c r="F10" i="3"/>
  <c r="F12" i="3"/>
  <c r="F14" i="3"/>
  <c r="F18" i="3"/>
  <c r="B13" i="33" l="1"/>
  <c r="J11" i="19"/>
  <c r="I11" i="19"/>
  <c r="D25" i="29" l="1"/>
  <c r="C25" i="29"/>
  <c r="B32" i="19" l="1"/>
  <c r="M26" i="19"/>
  <c r="B25" i="19"/>
  <c r="L23" i="19"/>
  <c r="I23" i="19"/>
  <c r="H23" i="19"/>
  <c r="L22" i="19"/>
  <c r="K22" i="19"/>
  <c r="J22" i="19"/>
  <c r="I22" i="19"/>
  <c r="G22" i="19"/>
  <c r="F22" i="19"/>
  <c r="E22" i="19"/>
  <c r="D22" i="19"/>
  <c r="B22" i="19"/>
  <c r="C22" i="19"/>
  <c r="M18" i="19"/>
  <c r="K13" i="19"/>
  <c r="D13" i="19"/>
  <c r="M10" i="19"/>
  <c r="M9" i="19"/>
  <c r="L9" i="19"/>
  <c r="K9" i="19"/>
  <c r="J9" i="19"/>
  <c r="I9" i="19"/>
  <c r="H9" i="19"/>
  <c r="G9" i="19"/>
  <c r="F9" i="19"/>
  <c r="E9" i="19"/>
  <c r="D9" i="19"/>
  <c r="M6" i="19"/>
  <c r="L6" i="19"/>
  <c r="K6" i="19"/>
  <c r="J6" i="19"/>
  <c r="I6" i="19"/>
  <c r="H6" i="19"/>
  <c r="G6" i="19"/>
  <c r="F6" i="19"/>
  <c r="E6" i="19"/>
  <c r="D6" i="19"/>
  <c r="C6" i="19"/>
  <c r="D56" i="50"/>
  <c r="D55" i="50"/>
  <c r="D25" i="50"/>
  <c r="D26" i="50" s="1"/>
  <c r="D49" i="50"/>
  <c r="D46" i="50"/>
  <c r="D45" i="50"/>
  <c r="D47" i="50" s="1"/>
  <c r="D38" i="50"/>
  <c r="D36" i="50"/>
  <c r="D35" i="50"/>
  <c r="D34" i="50"/>
  <c r="D33" i="50"/>
  <c r="D32" i="50"/>
  <c r="D31" i="50"/>
  <c r="D30" i="50"/>
  <c r="D29" i="50"/>
  <c r="D28" i="50"/>
  <c r="D21" i="50"/>
  <c r="D18" i="50"/>
  <c r="D17" i="50"/>
  <c r="D16" i="50"/>
  <c r="D15" i="50"/>
  <c r="D9" i="50"/>
  <c r="D14" i="50" s="1"/>
  <c r="D5" i="50"/>
  <c r="D20" i="50" l="1"/>
  <c r="D24" i="50"/>
  <c r="D50" i="50" l="1"/>
  <c r="D57" i="50" s="1"/>
  <c r="H11" i="34"/>
  <c r="C13" i="40" l="1"/>
  <c r="C38" i="49" l="1"/>
  <c r="C22" i="49"/>
  <c r="C20" i="49" l="1"/>
  <c r="L13" i="2" l="1"/>
  <c r="I61" i="15" l="1"/>
  <c r="I58" i="15"/>
  <c r="I49" i="15"/>
  <c r="I46" i="15"/>
  <c r="I43" i="15"/>
  <c r="B48" i="15"/>
  <c r="B45" i="15"/>
  <c r="I19" i="15" l="1"/>
  <c r="D87" i="34" s="1"/>
  <c r="K61" i="15"/>
  <c r="L25" i="15"/>
  <c r="K25" i="15"/>
  <c r="M25" i="15"/>
  <c r="I25" i="15"/>
  <c r="E200" i="5"/>
  <c r="O32" i="19" l="1"/>
  <c r="O26" i="19"/>
  <c r="O61" i="5"/>
  <c r="L170" i="5" l="1"/>
  <c r="M73" i="5"/>
  <c r="J170" i="5" l="1"/>
  <c r="L36" i="5"/>
  <c r="K36" i="5"/>
  <c r="J36" i="5"/>
  <c r="I36" i="5"/>
  <c r="H36" i="5"/>
  <c r="M30" i="5" l="1"/>
  <c r="C22" i="8" s="1"/>
  <c r="P22" i="8" s="1"/>
  <c r="M34" i="5"/>
  <c r="C24" i="8" s="1"/>
  <c r="P24" i="8" s="1"/>
  <c r="M32" i="5"/>
  <c r="C23" i="8" s="1"/>
  <c r="P23" i="8" s="1"/>
  <c r="E36" i="5"/>
  <c r="F36" i="5"/>
  <c r="G36" i="5"/>
  <c r="T22" i="2" l="1"/>
  <c r="L12" i="14"/>
  <c r="C10" i="14"/>
  <c r="L6" i="14"/>
  <c r="X17" i="2" l="1"/>
  <c r="C31" i="2"/>
  <c r="O17" i="19" s="1"/>
  <c r="C30" i="2"/>
  <c r="E7" i="2"/>
  <c r="K36" i="3"/>
  <c r="J36" i="3"/>
  <c r="I36" i="3"/>
  <c r="H36" i="3"/>
  <c r="L30" i="3"/>
  <c r="E22" i="8" s="1"/>
  <c r="L32" i="3"/>
  <c r="E23" i="8" s="1"/>
  <c r="E32" i="3"/>
  <c r="F36" i="3"/>
  <c r="E30" i="3"/>
  <c r="L28" i="3"/>
  <c r="E21" i="8" s="1"/>
  <c r="G28" i="3"/>
  <c r="L26" i="3"/>
  <c r="E20" i="8" s="1"/>
  <c r="E26" i="3"/>
  <c r="X18" i="2" l="1"/>
  <c r="B29" i="20"/>
  <c r="O18" i="19"/>
  <c r="T10" i="2"/>
  <c r="T20" i="2"/>
  <c r="G32" i="3"/>
  <c r="M32" i="3" s="1"/>
  <c r="M28" i="3"/>
  <c r="E36" i="3"/>
  <c r="E6" i="2"/>
  <c r="G26" i="3"/>
  <c r="M26" i="3" s="1"/>
  <c r="G30" i="3"/>
  <c r="G36" i="3" l="1"/>
  <c r="M30" i="3"/>
  <c r="F24" i="3" l="1"/>
  <c r="E23" i="19" l="1"/>
  <c r="T23" i="19" l="1"/>
  <c r="V21" i="32"/>
  <c r="V18" i="32"/>
  <c r="V12" i="32"/>
  <c r="R12" i="32"/>
  <c r="V7" i="32" l="1"/>
  <c r="G23" i="19"/>
  <c r="N21" i="19" l="1"/>
  <c r="Q17" i="19"/>
  <c r="N18" i="19"/>
  <c r="D31" i="2" l="1"/>
  <c r="V11" i="32" l="1"/>
  <c r="E38" i="20" l="1"/>
  <c r="D38" i="20"/>
  <c r="D36" i="20"/>
  <c r="E36" i="20" s="1"/>
  <c r="F15" i="19" l="1"/>
  <c r="L10" i="19"/>
  <c r="I10" i="19"/>
  <c r="K10" i="19"/>
  <c r="J10" i="19"/>
  <c r="B10" i="19"/>
  <c r="K55" i="15" l="1"/>
  <c r="M193" i="5" l="1"/>
  <c r="M191" i="5"/>
  <c r="M188" i="5"/>
  <c r="M184" i="5"/>
  <c r="M194" i="5"/>
  <c r="M200" i="5" s="1"/>
  <c r="M187" i="5" l="1"/>
  <c r="K165" i="5"/>
  <c r="H124" i="5"/>
  <c r="M13" i="2"/>
  <c r="M96" i="5"/>
  <c r="M91" i="5"/>
  <c r="M90" i="5"/>
  <c r="H171" i="5" l="1"/>
  <c r="H399" i="5" s="1"/>
  <c r="H169" i="5"/>
  <c r="H397" i="5" s="1"/>
  <c r="K171" i="5"/>
  <c r="K399" i="5" s="1"/>
  <c r="K169" i="5"/>
  <c r="K397" i="5" s="1"/>
  <c r="F170" i="5"/>
  <c r="O200" i="5"/>
  <c r="M95" i="5"/>
  <c r="T19" i="2"/>
  <c r="T17" i="2"/>
  <c r="T16" i="2"/>
  <c r="L26" i="14"/>
  <c r="T15" i="2" l="1"/>
  <c r="E26" i="2"/>
  <c r="B11" i="33"/>
  <c r="A55" i="1" l="1"/>
  <c r="A51" i="1"/>
  <c r="A49" i="1"/>
  <c r="A47" i="1"/>
  <c r="A45" i="1"/>
  <c r="A43" i="1"/>
  <c r="A41" i="1"/>
  <c r="A39" i="1"/>
  <c r="A37" i="1"/>
  <c r="A35" i="1"/>
  <c r="A33" i="1"/>
  <c r="A31" i="1"/>
  <c r="A29" i="1"/>
  <c r="A27" i="1"/>
  <c r="A25" i="1"/>
  <c r="A23" i="1"/>
  <c r="A21" i="1"/>
  <c r="A19" i="1"/>
  <c r="A17" i="1"/>
  <c r="A15" i="1"/>
  <c r="A13" i="1"/>
  <c r="A11" i="1"/>
  <c r="A9" i="1"/>
  <c r="A7" i="1"/>
  <c r="A5" i="1"/>
  <c r="R20" i="19" l="1"/>
  <c r="N18" i="32" l="1"/>
  <c r="W16" i="32" l="1"/>
  <c r="V16" i="32"/>
  <c r="U16" i="32"/>
  <c r="T16" i="32"/>
  <c r="S16" i="32"/>
  <c r="R16" i="32"/>
  <c r="Q16" i="32"/>
  <c r="W11" i="32"/>
  <c r="U11" i="32"/>
  <c r="T11" i="32"/>
  <c r="S11" i="32"/>
  <c r="X11" i="32"/>
  <c r="N11" i="32"/>
  <c r="B22" i="20"/>
  <c r="M69" i="5" l="1"/>
  <c r="H24" i="5"/>
  <c r="B23" i="20"/>
  <c r="H40" i="5" l="1"/>
  <c r="H38" i="5"/>
  <c r="L24" i="5"/>
  <c r="B19" i="20"/>
  <c r="B21" i="20"/>
  <c r="B20" i="20"/>
  <c r="B28" i="20"/>
  <c r="B18" i="20"/>
  <c r="K24" i="5"/>
  <c r="I24" i="5"/>
  <c r="J24" i="5"/>
  <c r="J40" i="5" l="1"/>
  <c r="J38" i="5"/>
  <c r="I40" i="5"/>
  <c r="I38" i="5"/>
  <c r="K40" i="5"/>
  <c r="K38" i="5"/>
  <c r="L40" i="5"/>
  <c r="L38" i="5"/>
  <c r="L406" i="5" s="1"/>
  <c r="L65" i="3"/>
  <c r="L67" i="3"/>
  <c r="J406" i="5" l="1"/>
  <c r="K38" i="3"/>
  <c r="J38" i="3"/>
  <c r="I38" i="3"/>
  <c r="H38" i="3"/>
  <c r="T18" i="32" l="1"/>
  <c r="D6" i="20" l="1"/>
  <c r="E6" i="20" s="1"/>
  <c r="D23" i="2" l="1"/>
  <c r="E23" i="2" l="1"/>
  <c r="C22" i="20"/>
  <c r="Q16" i="19" l="1"/>
  <c r="Q13" i="19"/>
  <c r="D22" i="2"/>
  <c r="U17" i="2" s="1"/>
  <c r="D20" i="2"/>
  <c r="D21" i="2"/>
  <c r="U16" i="2" s="1"/>
  <c r="D24" i="2"/>
  <c r="U19" i="2" s="1"/>
  <c r="H14" i="2" l="1"/>
  <c r="E20" i="2"/>
  <c r="U15" i="2"/>
  <c r="E24" i="2"/>
  <c r="C23" i="20"/>
  <c r="C18" i="20"/>
  <c r="E22" i="2"/>
  <c r="C21" i="20"/>
  <c r="D21" i="20" s="1"/>
  <c r="E21" i="20" s="1"/>
  <c r="C19" i="20"/>
  <c r="E21" i="2"/>
  <c r="C20" i="20"/>
  <c r="D20" i="20" s="1"/>
  <c r="E20" i="20" s="1"/>
  <c r="E22" i="29"/>
  <c r="E15" i="29"/>
  <c r="E14" i="29"/>
  <c r="E12" i="29"/>
  <c r="E11" i="29"/>
  <c r="E10" i="29"/>
  <c r="E9" i="29"/>
  <c r="E8" i="29"/>
  <c r="E25" i="29" s="1"/>
  <c r="C6" i="29"/>
  <c r="E6" i="29" s="1"/>
  <c r="D19" i="20" l="1"/>
  <c r="C11" i="33"/>
  <c r="C17" i="33" s="1"/>
  <c r="C18" i="33" s="1"/>
  <c r="D18" i="20"/>
  <c r="E19" i="20" l="1"/>
  <c r="D11" i="33"/>
  <c r="D17" i="33" s="1"/>
  <c r="D18" i="33" s="1"/>
  <c r="E18" i="20"/>
  <c r="E11" i="33" l="1"/>
  <c r="E17" i="33" s="1"/>
  <c r="E18" i="33" s="1"/>
  <c r="N12" i="19"/>
  <c r="M56" i="5" l="1"/>
  <c r="L24" i="14" l="1"/>
  <c r="H26" i="2" s="1"/>
  <c r="Q12" i="32" l="1"/>
  <c r="N26" i="19" l="1"/>
  <c r="Q13" i="32" l="1"/>
  <c r="X12" i="32"/>
  <c r="X16" i="32" s="1"/>
  <c r="B45" i="20" l="1"/>
  <c r="L11" i="2"/>
  <c r="Q28" i="19" s="1"/>
  <c r="B40" i="20"/>
  <c r="L12" i="2"/>
  <c r="Q32" i="19" l="1"/>
  <c r="B42" i="20"/>
  <c r="Q30" i="19"/>
  <c r="U18" i="32" l="1"/>
  <c r="S18" i="32"/>
  <c r="M18" i="32"/>
  <c r="R13" i="32"/>
  <c r="X18" i="32"/>
  <c r="X21" i="32" s="1"/>
  <c r="R11" i="32"/>
  <c r="R18" i="32" s="1"/>
  <c r="P9" i="32"/>
  <c r="O9" i="32"/>
  <c r="N9" i="32"/>
  <c r="L8" i="32"/>
  <c r="K8" i="32"/>
  <c r="I8" i="32"/>
  <c r="H8" i="32"/>
  <c r="G8" i="32"/>
  <c r="Q7" i="32"/>
  <c r="Q11" i="32" s="1"/>
  <c r="P7" i="32"/>
  <c r="P11" i="32" s="1"/>
  <c r="P18" i="32" s="1"/>
  <c r="P21" i="32" s="1"/>
  <c r="O7" i="32"/>
  <c r="N7" i="32"/>
  <c r="N8" i="32" s="1"/>
  <c r="K33" i="19"/>
  <c r="N32" i="19"/>
  <c r="R32" i="19" s="1"/>
  <c r="N31" i="19"/>
  <c r="N30" i="19"/>
  <c r="N28" i="19"/>
  <c r="N27" i="19"/>
  <c r="N25" i="19"/>
  <c r="N24" i="19"/>
  <c r="J33" i="19"/>
  <c r="F33" i="19"/>
  <c r="N16" i="19"/>
  <c r="R16" i="19" s="1"/>
  <c r="N15" i="19"/>
  <c r="N14" i="19"/>
  <c r="N13" i="19"/>
  <c r="R13" i="19" s="1"/>
  <c r="S13" i="19" s="1"/>
  <c r="N10" i="19"/>
  <c r="N9" i="19"/>
  <c r="N7" i="19"/>
  <c r="N6" i="19"/>
  <c r="A22" i="29"/>
  <c r="A7" i="29"/>
  <c r="A8" i="29" s="1"/>
  <c r="A9" i="29" s="1"/>
  <c r="A10" i="29" s="1"/>
  <c r="A11" i="29" s="1"/>
  <c r="A12" i="29" s="1"/>
  <c r="I76" i="15"/>
  <c r="I73" i="15"/>
  <c r="I67" i="15"/>
  <c r="I64" i="15"/>
  <c r="I52" i="15"/>
  <c r="I40" i="15"/>
  <c r="I37" i="15"/>
  <c r="I34" i="15"/>
  <c r="M166" i="5"/>
  <c r="M162" i="5"/>
  <c r="M161" i="5"/>
  <c r="M156" i="5"/>
  <c r="M153" i="5"/>
  <c r="M152" i="5"/>
  <c r="M149" i="5"/>
  <c r="M148" i="5"/>
  <c r="M145" i="5"/>
  <c r="M144" i="5"/>
  <c r="M135" i="5"/>
  <c r="M134" i="5"/>
  <c r="M133" i="5"/>
  <c r="M132" i="5"/>
  <c r="M129" i="5"/>
  <c r="M128" i="5"/>
  <c r="M122" i="5"/>
  <c r="M120" i="5"/>
  <c r="M116" i="5"/>
  <c r="M112" i="5"/>
  <c r="M109" i="5"/>
  <c r="M108" i="5"/>
  <c r="M104" i="5"/>
  <c r="M101" i="5"/>
  <c r="M100" i="5"/>
  <c r="M86" i="5"/>
  <c r="M79" i="5"/>
  <c r="M74" i="5"/>
  <c r="M60" i="5"/>
  <c r="M53" i="5"/>
  <c r="M52" i="5"/>
  <c r="L30" i="14"/>
  <c r="J97" i="3"/>
  <c r="L55" i="3"/>
  <c r="E32" i="2"/>
  <c r="T18" i="2"/>
  <c r="X23" i="2"/>
  <c r="M173" i="5" l="1"/>
  <c r="M175" i="5"/>
  <c r="M403" i="5" s="1"/>
  <c r="O24" i="19"/>
  <c r="G9" i="2"/>
  <c r="H9" i="2" s="1"/>
  <c r="K76" i="15"/>
  <c r="R30" i="19"/>
  <c r="T25" i="19"/>
  <c r="R28" i="19"/>
  <c r="S13" i="32"/>
  <c r="Q24" i="19"/>
  <c r="R24" i="19" s="1"/>
  <c r="O11" i="32"/>
  <c r="O18" i="32" s="1"/>
  <c r="O21" i="32" s="1"/>
  <c r="B37" i="20"/>
  <c r="N21" i="32"/>
  <c r="L39" i="5"/>
  <c r="J39" i="5"/>
  <c r="I39" i="5"/>
  <c r="G33" i="19"/>
  <c r="O8" i="32"/>
  <c r="N17" i="32"/>
  <c r="C8" i="2"/>
  <c r="H39" i="5"/>
  <c r="C33" i="19"/>
  <c r="E33" i="19"/>
  <c r="I33" i="19"/>
  <c r="D33" i="19"/>
  <c r="H33" i="19"/>
  <c r="L33" i="19"/>
  <c r="O13" i="19"/>
  <c r="O30" i="19"/>
  <c r="M11" i="2"/>
  <c r="Y23" i="2" s="1"/>
  <c r="O28" i="19"/>
  <c r="L57" i="3"/>
  <c r="L20" i="14"/>
  <c r="D26" i="8" l="1"/>
  <c r="D29" i="8" s="1"/>
  <c r="M401" i="5"/>
  <c r="M174" i="5"/>
  <c r="M402" i="5" s="1"/>
  <c r="Q7" i="19"/>
  <c r="R7" i="19" s="1"/>
  <c r="T8" i="2"/>
  <c r="T13" i="32"/>
  <c r="E8" i="2"/>
  <c r="B8" i="20"/>
  <c r="O7" i="19"/>
  <c r="N22" i="19"/>
  <c r="O17" i="32"/>
  <c r="P8" i="32"/>
  <c r="K39" i="5"/>
  <c r="M12" i="2"/>
  <c r="N11" i="19"/>
  <c r="U13" i="32" l="1"/>
  <c r="D28" i="2"/>
  <c r="P17" i="32"/>
  <c r="Q8" i="32"/>
  <c r="V13" i="32" l="1"/>
  <c r="Q17" i="32"/>
  <c r="R8" i="32"/>
  <c r="W13" i="32" l="1"/>
  <c r="X13" i="32" s="1"/>
  <c r="X17" i="32" s="1"/>
  <c r="V20" i="32"/>
  <c r="S8" i="32"/>
  <c r="R17" i="32"/>
  <c r="S17" i="32" l="1"/>
  <c r="T8" i="32"/>
  <c r="T17" i="32" l="1"/>
  <c r="U8" i="32"/>
  <c r="U17" i="32" l="1"/>
  <c r="V8" i="32"/>
  <c r="W8" i="32" l="1"/>
  <c r="W17" i="32" s="1"/>
  <c r="V17" i="32"/>
  <c r="Q18" i="32" l="1"/>
  <c r="M183" i="5" l="1"/>
  <c r="M199" i="5" l="1"/>
  <c r="C11" i="2"/>
  <c r="T11" i="2" s="1"/>
  <c r="B10" i="20" l="1"/>
  <c r="B15" i="33"/>
  <c r="O9" i="19"/>
  <c r="Q9" i="19"/>
  <c r="R9" i="19" s="1"/>
  <c r="S9" i="19" s="1"/>
  <c r="D11" i="2"/>
  <c r="I55" i="15"/>
  <c r="K40" i="15" s="1"/>
  <c r="M82" i="5" l="1"/>
  <c r="M83" i="5" l="1"/>
  <c r="O83" i="5" s="1"/>
  <c r="I10" i="15" l="1"/>
  <c r="Q15" i="19" l="1"/>
  <c r="R15" i="19" s="1"/>
  <c r="C26" i="2"/>
  <c r="X12" i="2" s="1"/>
  <c r="D26" i="2" l="1"/>
  <c r="B25" i="20"/>
  <c r="O15" i="19"/>
  <c r="M113" i="5" l="1"/>
  <c r="M121" i="5" l="1"/>
  <c r="M124" i="5" l="1"/>
  <c r="L59" i="3" l="1"/>
  <c r="M64" i="5" l="1"/>
  <c r="L32" i="14" l="1"/>
  <c r="X38" i="2" l="1"/>
  <c r="X37" i="2"/>
  <c r="L51" i="3"/>
  <c r="I79" i="15" l="1"/>
  <c r="P27" i="8" s="1"/>
  <c r="O197" i="5" l="1"/>
  <c r="O198" i="5" l="1"/>
  <c r="D35" i="2"/>
  <c r="E199" i="5"/>
  <c r="O199" i="5" l="1"/>
  <c r="W18" i="32" l="1"/>
  <c r="W21" i="32" s="1"/>
  <c r="C11" i="20" l="1"/>
  <c r="D11" i="20" l="1"/>
  <c r="E11" i="20"/>
  <c r="I28" i="15" l="1"/>
  <c r="M78" i="5" l="1"/>
  <c r="F38" i="3" l="1"/>
  <c r="C16" i="2" l="1"/>
  <c r="B15" i="20" s="1"/>
  <c r="C15" i="20" s="1"/>
  <c r="H13" i="2" l="1"/>
  <c r="X10" i="2"/>
  <c r="E16" i="2"/>
  <c r="D15" i="20"/>
  <c r="C16" i="20"/>
  <c r="C26" i="20" s="1"/>
  <c r="E15" i="20" l="1"/>
  <c r="D16" i="20"/>
  <c r="D26" i="20" s="1"/>
  <c r="E16" i="20" l="1"/>
  <c r="E26" i="20" s="1"/>
  <c r="L28" i="14" l="1"/>
  <c r="C15" i="2" l="1"/>
  <c r="X8" i="2" s="1"/>
  <c r="Q12" i="19" l="1"/>
  <c r="R12" i="19" s="1"/>
  <c r="B14" i="20"/>
  <c r="O12" i="19"/>
  <c r="D15" i="2"/>
  <c r="D17" i="2" l="1"/>
  <c r="Y11" i="2"/>
  <c r="Y13" i="2" s="1"/>
  <c r="M157" i="5"/>
  <c r="Q26" i="19" l="1"/>
  <c r="M105" i="5"/>
  <c r="R26" i="19" l="1"/>
  <c r="T26" i="19"/>
  <c r="L69" i="3"/>
  <c r="C32" i="2" l="1"/>
  <c r="Q18" i="19" l="1"/>
  <c r="R18" i="19" s="1"/>
  <c r="D30" i="2"/>
  <c r="B27" i="20"/>
  <c r="C27" i="20" s="1"/>
  <c r="D32" i="2" l="1"/>
  <c r="D27" i="20"/>
  <c r="C45" i="20"/>
  <c r="C31" i="20"/>
  <c r="D45" i="20" l="1"/>
  <c r="E27" i="20"/>
  <c r="D31" i="20"/>
  <c r="E45" i="20" l="1"/>
  <c r="E31" i="20"/>
  <c r="E170" i="5" l="1"/>
  <c r="M87" i="5" l="1"/>
  <c r="O87" i="5" s="1"/>
  <c r="M65" i="5" l="1"/>
  <c r="O65" i="5" l="1"/>
  <c r="I13" i="15" l="1"/>
  <c r="O14" i="19" l="1"/>
  <c r="B24" i="20"/>
  <c r="Q14" i="19"/>
  <c r="R14" i="19" s="1"/>
  <c r="M26" i="5" l="1"/>
  <c r="C20" i="8" s="1"/>
  <c r="P20" i="8" l="1"/>
  <c r="M28" i="5"/>
  <c r="M36" i="5" l="1"/>
  <c r="C21" i="8"/>
  <c r="L34" i="3"/>
  <c r="P21" i="8" l="1"/>
  <c r="C25" i="8"/>
  <c r="P25" i="8" s="1"/>
  <c r="M34" i="3"/>
  <c r="L36" i="3"/>
  <c r="M36" i="3" l="1"/>
  <c r="L22" i="14" l="1"/>
  <c r="C13" i="2" l="1"/>
  <c r="X6" i="2" s="1"/>
  <c r="E47" i="14"/>
  <c r="B12" i="33" l="1"/>
  <c r="B17" i="33" s="1"/>
  <c r="B18" i="33" s="1"/>
  <c r="E13" i="2"/>
  <c r="B12" i="20"/>
  <c r="Q10" i="19"/>
  <c r="R10" i="19" s="1"/>
  <c r="S10" i="19" s="1"/>
  <c r="O10" i="19"/>
  <c r="M125" i="5" l="1"/>
  <c r="O124" i="5" l="1"/>
  <c r="O125" i="5"/>
  <c r="M140" i="5" l="1"/>
  <c r="O152" i="5" l="1"/>
  <c r="O148" i="5"/>
  <c r="I31" i="15" l="1"/>
  <c r="K31" i="15" l="1"/>
  <c r="K30" i="15"/>
  <c r="M57" i="5" l="1"/>
  <c r="I7" i="15" l="1"/>
  <c r="L49" i="3" l="1"/>
  <c r="L61" i="3" l="1"/>
  <c r="C9" i="2" l="1"/>
  <c r="T9" i="2" s="1"/>
  <c r="D9" i="2" l="1"/>
  <c r="B9" i="20"/>
  <c r="Q8" i="19"/>
  <c r="O8" i="19"/>
  <c r="E9" i="2" l="1"/>
  <c r="E12" i="2" s="1"/>
  <c r="E8" i="19"/>
  <c r="K8" i="19"/>
  <c r="M8" i="19"/>
  <c r="D8" i="19"/>
  <c r="B8" i="19"/>
  <c r="L8" i="19"/>
  <c r="I8" i="19"/>
  <c r="F8" i="19"/>
  <c r="G8" i="19"/>
  <c r="J8" i="19"/>
  <c r="C8" i="19"/>
  <c r="H8" i="19"/>
  <c r="N8" i="19" l="1"/>
  <c r="R8" i="19" s="1"/>
  <c r="O69" i="5" l="1"/>
  <c r="E24" i="3" l="1"/>
  <c r="E38" i="3" s="1"/>
  <c r="E40" i="5" l="1"/>
  <c r="M24" i="5"/>
  <c r="F40" i="5"/>
  <c r="G40" i="5"/>
  <c r="L34" i="14"/>
  <c r="N18" i="8" s="1"/>
  <c r="I91" i="15" l="1"/>
  <c r="I107" i="15" s="1"/>
  <c r="E107" i="15"/>
  <c r="C16" i="8"/>
  <c r="P16" i="8" s="1"/>
  <c r="M40" i="5"/>
  <c r="N6" i="2" s="1"/>
  <c r="M22" i="5" l="1"/>
  <c r="C17" i="8" l="1"/>
  <c r="C18" i="8" l="1"/>
  <c r="P18" i="8" s="1"/>
  <c r="P17" i="8"/>
  <c r="M18" i="5"/>
  <c r="C13" i="8" s="1"/>
  <c r="P13" i="8" s="1"/>
  <c r="M6" i="5" l="1"/>
  <c r="C7" i="8" l="1"/>
  <c r="P7" i="8" s="1"/>
  <c r="M10" i="5"/>
  <c r="C9" i="8" s="1"/>
  <c r="P9" i="8" s="1"/>
  <c r="M12" i="5" l="1"/>
  <c r="C10" i="8" s="1"/>
  <c r="P10" i="8" s="1"/>
  <c r="M8" i="5" l="1"/>
  <c r="M16" i="5"/>
  <c r="C12" i="8" s="1"/>
  <c r="P12" i="8" s="1"/>
  <c r="C8" i="8" l="1"/>
  <c r="P8" i="8" s="1"/>
  <c r="G38" i="5"/>
  <c r="F38" i="5"/>
  <c r="F39" i="5" l="1"/>
  <c r="G39" i="5"/>
  <c r="C11" i="8" l="1"/>
  <c r="M20" i="5"/>
  <c r="M38" i="5" s="1"/>
  <c r="O20" i="5"/>
  <c r="E38" i="5"/>
  <c r="C14" i="8" l="1"/>
  <c r="P11" i="8"/>
  <c r="T27" i="2"/>
  <c r="E39" i="5"/>
  <c r="O38" i="5"/>
  <c r="M39" i="5"/>
  <c r="P14" i="8" l="1"/>
  <c r="M6" i="2"/>
  <c r="G6" i="3" l="1"/>
  <c r="E7" i="8"/>
  <c r="L24" i="3"/>
  <c r="E16" i="8" s="1"/>
  <c r="G18" i="3" l="1"/>
  <c r="M18" i="3" s="1"/>
  <c r="E13" i="8"/>
  <c r="F13" i="8" s="1"/>
  <c r="G10" i="3"/>
  <c r="M10" i="3" s="1"/>
  <c r="E9" i="8"/>
  <c r="F9" i="8" s="1"/>
  <c r="G16" i="3"/>
  <c r="M16" i="3" s="1"/>
  <c r="E12" i="8"/>
  <c r="F12" i="8" s="1"/>
  <c r="G8" i="3"/>
  <c r="M8" i="3" s="1"/>
  <c r="E8" i="8"/>
  <c r="F8" i="8" s="1"/>
  <c r="F16" i="8"/>
  <c r="G24" i="3"/>
  <c r="G14" i="3"/>
  <c r="M14" i="3" s="1"/>
  <c r="E11" i="8"/>
  <c r="F11" i="8" s="1"/>
  <c r="F7" i="8"/>
  <c r="G12" i="3"/>
  <c r="M12" i="3" s="1"/>
  <c r="E10" i="8"/>
  <c r="F10" i="8" s="1"/>
  <c r="M6" i="3"/>
  <c r="L22" i="3"/>
  <c r="G20" i="3" l="1"/>
  <c r="G22" i="3"/>
  <c r="M22" i="3" s="1"/>
  <c r="E17" i="8"/>
  <c r="M24" i="3"/>
  <c r="L38" i="3"/>
  <c r="E14" i="8"/>
  <c r="G38" i="3" l="1"/>
  <c r="G40" i="3" s="1"/>
  <c r="F17" i="8"/>
  <c r="G6" i="2" l="1"/>
  <c r="L53" i="3"/>
  <c r="C7" i="2" l="1"/>
  <c r="T7" i="2" s="1"/>
  <c r="B7" i="20" l="1"/>
  <c r="D7" i="2"/>
  <c r="O6" i="19"/>
  <c r="Q6" i="19"/>
  <c r="R6" i="19" l="1"/>
  <c r="S6" i="19" s="1"/>
  <c r="M117" i="5" l="1"/>
  <c r="G170" i="5" l="1"/>
  <c r="O117" i="5"/>
  <c r="L36" i="14" l="1"/>
  <c r="E25" i="8" s="1"/>
  <c r="F25" i="8" s="1"/>
  <c r="I85" i="15"/>
  <c r="L18" i="14" l="1"/>
  <c r="L16" i="14"/>
  <c r="L14" i="14"/>
  <c r="L10" i="14"/>
  <c r="L8" i="14" l="1"/>
  <c r="C14" i="2" l="1"/>
  <c r="X7" i="2" l="1"/>
  <c r="X11" i="2" s="1"/>
  <c r="X13" i="2" s="1"/>
  <c r="X19" i="2" s="1"/>
  <c r="Q11" i="19"/>
  <c r="B13" i="20"/>
  <c r="B16" i="20" s="1"/>
  <c r="C17" i="2"/>
  <c r="O11" i="19"/>
  <c r="E14" i="2"/>
  <c r="E17" i="2" s="1"/>
  <c r="E27" i="2" l="1"/>
  <c r="E34" i="2" s="1"/>
  <c r="E41" i="2" s="1"/>
  <c r="R11" i="19"/>
  <c r="L40" i="14" l="1"/>
  <c r="E97" i="3"/>
  <c r="M212" i="5" l="1"/>
  <c r="O21" i="19"/>
  <c r="O22" i="19"/>
  <c r="F406" i="5"/>
  <c r="Q5" i="19"/>
  <c r="C6" i="2"/>
  <c r="O23" i="19"/>
  <c r="I82" i="15"/>
  <c r="G406" i="5"/>
  <c r="I106" i="15" l="1"/>
  <c r="I105" i="15"/>
  <c r="I108" i="15" s="1"/>
  <c r="M216" i="5"/>
  <c r="M217" i="5"/>
  <c r="T6" i="2"/>
  <c r="T12" i="2" s="1"/>
  <c r="T23" i="2" s="1"/>
  <c r="T25" i="2" s="1"/>
  <c r="O5" i="19"/>
  <c r="O19" i="19" s="1"/>
  <c r="D6" i="2"/>
  <c r="B6" i="20"/>
  <c r="B11" i="20" s="1"/>
  <c r="B26" i="20" s="1"/>
  <c r="B31" i="20" s="1"/>
  <c r="C12" i="2"/>
  <c r="C27" i="2" s="1"/>
  <c r="C34" i="2" s="1"/>
  <c r="B36" i="20"/>
  <c r="Q23" i="19"/>
  <c r="R23" i="19" s="1"/>
  <c r="I5" i="19"/>
  <c r="I19" i="19" s="1"/>
  <c r="I35" i="19" s="1"/>
  <c r="B5" i="19"/>
  <c r="M5" i="19"/>
  <c r="M19" i="19" s="1"/>
  <c r="M35" i="19" s="1"/>
  <c r="C5" i="19"/>
  <c r="C19" i="19" s="1"/>
  <c r="C35" i="19" s="1"/>
  <c r="J5" i="19"/>
  <c r="J19" i="19" s="1"/>
  <c r="J35" i="19" s="1"/>
  <c r="F5" i="19"/>
  <c r="F19" i="19" s="1"/>
  <c r="F35" i="19" s="1"/>
  <c r="D5" i="19"/>
  <c r="D19" i="19" s="1"/>
  <c r="D35" i="19" s="1"/>
  <c r="E5" i="19"/>
  <c r="E19" i="19" s="1"/>
  <c r="E35" i="19" s="1"/>
  <c r="H5" i="19"/>
  <c r="H19" i="19" s="1"/>
  <c r="H35" i="19" s="1"/>
  <c r="L5" i="19"/>
  <c r="L19" i="19" s="1"/>
  <c r="L35" i="19" s="1"/>
  <c r="G5" i="19"/>
  <c r="G19" i="19" s="1"/>
  <c r="G35" i="19" s="1"/>
  <c r="K5" i="19"/>
  <c r="K19" i="19" s="1"/>
  <c r="K35" i="19" s="1"/>
  <c r="Q19" i="19"/>
  <c r="Q21" i="19"/>
  <c r="B34" i="20"/>
  <c r="B35" i="20"/>
  <c r="D35" i="20" s="1"/>
  <c r="E35" i="20" s="1"/>
  <c r="Q22" i="19"/>
  <c r="I116" i="15"/>
  <c r="O29" i="19"/>
  <c r="K91" i="15"/>
  <c r="L38" i="14"/>
  <c r="L42" i="14" s="1"/>
  <c r="L43" i="14" s="1"/>
  <c r="H16" i="2" l="1"/>
  <c r="H17" i="2" s="1"/>
  <c r="F17" i="2"/>
  <c r="D12" i="2"/>
  <c r="D27" i="2" s="1"/>
  <c r="D34" i="2" s="1"/>
  <c r="D41" i="2" s="1"/>
  <c r="U12" i="2"/>
  <c r="B32" i="20"/>
  <c r="S21" i="19"/>
  <c r="T21" i="19" s="1"/>
  <c r="R21" i="19"/>
  <c r="K105" i="15"/>
  <c r="L9" i="2"/>
  <c r="B41" i="20"/>
  <c r="Q29" i="19"/>
  <c r="C28" i="8"/>
  <c r="P28" i="8" s="1"/>
  <c r="C41" i="2"/>
  <c r="C42" i="2"/>
  <c r="R22" i="19"/>
  <c r="S22" i="19"/>
  <c r="T22" i="19" s="1"/>
  <c r="N5" i="19"/>
  <c r="B19" i="19"/>
  <c r="B35" i="19" s="1"/>
  <c r="B36" i="19" s="1"/>
  <c r="C36" i="19" s="1"/>
  <c r="D36" i="19" s="1"/>
  <c r="E36" i="19" s="1"/>
  <c r="F36" i="19" s="1"/>
  <c r="G36" i="19" s="1"/>
  <c r="H36" i="19" s="1"/>
  <c r="I36" i="19" s="1"/>
  <c r="J36" i="19" s="1"/>
  <c r="K36" i="19" s="1"/>
  <c r="L36" i="19" s="1"/>
  <c r="M36" i="19" s="1"/>
  <c r="D34" i="20"/>
  <c r="C46" i="20"/>
  <c r="C47" i="20" s="1"/>
  <c r="G26" i="2"/>
  <c r="N9" i="2" l="1"/>
  <c r="M9" i="2" s="1"/>
  <c r="I115" i="15"/>
  <c r="I117" i="15" s="1"/>
  <c r="E34" i="20"/>
  <c r="E46" i="20" s="1"/>
  <c r="E47" i="20" s="1"/>
  <c r="D46" i="20"/>
  <c r="D47" i="20" s="1"/>
  <c r="R29" i="19"/>
  <c r="S29" i="19"/>
  <c r="T29" i="19" s="1"/>
  <c r="X21" i="2"/>
  <c r="X26" i="2" s="1"/>
  <c r="N19" i="19"/>
  <c r="N35" i="19" s="1"/>
  <c r="R5" i="19"/>
  <c r="S5" i="19" s="1"/>
  <c r="L63" i="3"/>
  <c r="L71" i="3" s="1"/>
  <c r="M71" i="3" l="1"/>
  <c r="G11" i="2" s="1"/>
  <c r="E26" i="8"/>
  <c r="H27" i="8" s="1"/>
  <c r="R19" i="19"/>
  <c r="S19" i="19" s="1"/>
  <c r="X33" i="2"/>
  <c r="X35" i="2"/>
  <c r="G7" i="2" l="1"/>
  <c r="G12" i="2" s="1"/>
  <c r="G27" i="2" s="1"/>
  <c r="G34" i="2" s="1"/>
  <c r="G97" i="3" l="1"/>
  <c r="L97" i="3"/>
  <c r="E28" i="8" l="1"/>
  <c r="F28" i="8" s="1"/>
  <c r="M95" i="3"/>
  <c r="J26" i="8" l="1"/>
  <c r="O25" i="19" l="1"/>
  <c r="M137" i="5"/>
  <c r="H406" i="5" l="1"/>
  <c r="O137" i="5"/>
  <c r="O136" i="5"/>
  <c r="Q25" i="19"/>
  <c r="B38" i="20"/>
  <c r="H170" i="5"/>
  <c r="H398" i="5" s="1"/>
  <c r="R25" i="19" l="1"/>
  <c r="S25" i="19" s="1"/>
  <c r="C7" i="49" l="1"/>
  <c r="C5" i="49" l="1"/>
  <c r="O165" i="5" l="1"/>
  <c r="M165" i="5"/>
  <c r="M171" i="5" s="1"/>
  <c r="M399" i="5" s="1"/>
  <c r="O27" i="19"/>
  <c r="B39" i="20" l="1"/>
  <c r="I170" i="5"/>
  <c r="Q27" i="19"/>
  <c r="O166" i="5"/>
  <c r="N7" i="2"/>
  <c r="N8" i="2" s="1"/>
  <c r="N36" i="2" s="1"/>
  <c r="I406" i="5"/>
  <c r="N41" i="2" l="1"/>
  <c r="R27" i="19"/>
  <c r="S27" i="19" s="1"/>
  <c r="T27" i="19"/>
  <c r="O31" i="19" l="1"/>
  <c r="O33" i="19" s="1"/>
  <c r="M61" i="5"/>
  <c r="M169" i="5" s="1"/>
  <c r="M397" i="5" s="1"/>
  <c r="K406" i="5" l="1"/>
  <c r="P169" i="5"/>
  <c r="K170" i="5"/>
  <c r="K398" i="5" s="1"/>
  <c r="O169" i="5"/>
  <c r="B44" i="20"/>
  <c r="B46" i="20" s="1"/>
  <c r="Q31" i="19"/>
  <c r="P7" i="2" l="1"/>
  <c r="P8" i="2" s="1"/>
  <c r="P36" i="2" s="1"/>
  <c r="O8" i="2"/>
  <c r="O36" i="2" s="1"/>
  <c r="O218" i="5"/>
  <c r="T28" i="2"/>
  <c r="C26" i="8"/>
  <c r="C29" i="8" s="1"/>
  <c r="O223" i="5"/>
  <c r="M170" i="5"/>
  <c r="M398" i="5" s="1"/>
  <c r="M406" i="5"/>
  <c r="O387" i="5"/>
  <c r="Q33" i="19"/>
  <c r="R33" i="19" s="1"/>
  <c r="S33" i="19" s="1"/>
  <c r="R31" i="19"/>
  <c r="B48" i="20"/>
  <c r="P26" i="8" l="1"/>
  <c r="L8" i="2"/>
  <c r="L36" i="2" s="1"/>
  <c r="M7" i="2"/>
  <c r="T29" i="2"/>
  <c r="T33" i="2" s="1"/>
  <c r="C31" i="8" l="1"/>
  <c r="P29" i="8"/>
  <c r="M8" i="2"/>
  <c r="M36" i="2" s="1"/>
  <c r="U29" i="2"/>
  <c r="U33" i="2" s="1"/>
  <c r="T37" i="2"/>
  <c r="T39" i="2"/>
  <c r="L43" i="2"/>
  <c r="J38" i="2" l="1"/>
  <c r="J40" i="2" l="1"/>
  <c r="G87" i="3"/>
  <c r="L85" i="3"/>
  <c r="M85" i="3" s="1"/>
  <c r="L87" i="3" l="1"/>
  <c r="E27" i="8" l="1"/>
  <c r="H8" i="2" l="1"/>
  <c r="H12" i="2" s="1"/>
  <c r="H27" i="2" s="1"/>
  <c r="H34" i="2" s="1"/>
  <c r="F12" i="2"/>
  <c r="F27" i="2" s="1"/>
  <c r="F34" i="2" s="1"/>
  <c r="F27" i="8"/>
  <c r="E29" i="8"/>
  <c r="F29" i="8" l="1"/>
  <c r="F33" i="8"/>
  <c r="L72" i="3"/>
  <c r="L153" i="3" s="1"/>
  <c r="Y19" i="2"/>
  <c r="Y33" i="2" s="1"/>
  <c r="U23" i="2"/>
  <c r="U25" i="2" s="1"/>
  <c r="U37" i="2" s="1"/>
</calcChain>
</file>

<file path=xl/sharedStrings.xml><?xml version="1.0" encoding="utf-8"?>
<sst xmlns="http://schemas.openxmlformats.org/spreadsheetml/2006/main" count="2592" uniqueCount="1144">
  <si>
    <t>2.</t>
  </si>
  <si>
    <t>Működési bevételek, Intézmények</t>
  </si>
  <si>
    <t>3.</t>
  </si>
  <si>
    <t>Működési bevételek, Önkormányzat</t>
  </si>
  <si>
    <t>5.</t>
  </si>
  <si>
    <t>Működési bevételek, Polgármesteri Hivatal</t>
  </si>
  <si>
    <t>6.</t>
  </si>
  <si>
    <t>Felhalmozási bevételek jogímenként</t>
  </si>
  <si>
    <t>7.</t>
  </si>
  <si>
    <t>Működési kiadások, Intézmények</t>
  </si>
  <si>
    <t>8.</t>
  </si>
  <si>
    <t>Működési kiadások, Önkormányzat</t>
  </si>
  <si>
    <t>10.</t>
  </si>
  <si>
    <t>Működési kiadások, Polgármesteri Hivatal</t>
  </si>
  <si>
    <t>11.</t>
  </si>
  <si>
    <t>Felhalmozási kiadások</t>
  </si>
  <si>
    <t>12.</t>
  </si>
  <si>
    <t>13.</t>
  </si>
  <si>
    <t>14.</t>
  </si>
  <si>
    <t>Címrend</t>
  </si>
  <si>
    <t>Bevételek</t>
  </si>
  <si>
    <t>Kiadások</t>
  </si>
  <si>
    <t>Intézményi működési bevétel</t>
  </si>
  <si>
    <t>Intézmények működési kiadása</t>
  </si>
  <si>
    <t>Tárgyi eszközök értékesítése</t>
  </si>
  <si>
    <t>Támogatásértékű műk. bevétel</t>
  </si>
  <si>
    <t>Támogtás értékű felhalmozási bev.</t>
  </si>
  <si>
    <t>Műk.c.pénzeszköz átv.ÁH-n kívülről</t>
  </si>
  <si>
    <t>Működés összesen</t>
  </si>
  <si>
    <t>Felh.c.pénzeszköz átvétel ÁH-n kív.</t>
  </si>
  <si>
    <t>Önkorm.lakások és helyis.értékesít.</t>
  </si>
  <si>
    <t>Hitelek törlesztése</t>
  </si>
  <si>
    <t>Önkormányzati sajátos műk.b.</t>
  </si>
  <si>
    <t xml:space="preserve"> Beruházási hitelek</t>
  </si>
  <si>
    <t>Működési bevételek összesen</t>
  </si>
  <si>
    <t>Bevételek összesen</t>
  </si>
  <si>
    <t>Kamatköltségek</t>
  </si>
  <si>
    <t>Helyi adók</t>
  </si>
  <si>
    <t xml:space="preserve">   Iparűzési adó</t>
  </si>
  <si>
    <t xml:space="preserve">   Építmény adó</t>
  </si>
  <si>
    <t xml:space="preserve">   Idegenforgalmi adó</t>
  </si>
  <si>
    <t>Felhalmozási bev. összesen</t>
  </si>
  <si>
    <t xml:space="preserve">   Telekadó</t>
  </si>
  <si>
    <t>Gépjármű adó</t>
  </si>
  <si>
    <t>Talajterhelési díj</t>
  </si>
  <si>
    <t>Pénzmaradvány</t>
  </si>
  <si>
    <t>Bevétel mindösszesen</t>
  </si>
  <si>
    <t>Kiadás mindösszesen</t>
  </si>
  <si>
    <t>Intézmények megnevezése</t>
  </si>
  <si>
    <t>Összesen</t>
  </si>
  <si>
    <t>Őzikés Óvoda</t>
  </si>
  <si>
    <t>Lurkóvár Óvoda</t>
  </si>
  <si>
    <t>Majoroki Óvoda</t>
  </si>
  <si>
    <t>Bóbita Óvoda</t>
  </si>
  <si>
    <t>Kékcinke Óvoda</t>
  </si>
  <si>
    <t>Vackor Óvoda</t>
  </si>
  <si>
    <t>Tábor</t>
  </si>
  <si>
    <t>Hansági Múzeum</t>
  </si>
  <si>
    <t>Intézmények összesen:</t>
  </si>
  <si>
    <t>ÖSSZESEN:</t>
  </si>
  <si>
    <t>Feladat megnevezése</t>
  </si>
  <si>
    <t>Ö S S Z E S E N :</t>
  </si>
  <si>
    <t xml:space="preserve"> </t>
  </si>
  <si>
    <t>Személyi juttatások</t>
  </si>
  <si>
    <t>Járulékok</t>
  </si>
  <si>
    <t>Dologi kiadások</t>
  </si>
  <si>
    <t>Kölcsön</t>
  </si>
  <si>
    <t>Mosonmagyaróvár város Önkormányzata</t>
  </si>
  <si>
    <t>Címrendi szám</t>
  </si>
  <si>
    <t>Intézmény neve</t>
  </si>
  <si>
    <t>1 1 1</t>
  </si>
  <si>
    <t>Önkormányzat</t>
  </si>
  <si>
    <t>Polgármesteri Hivatal</t>
  </si>
  <si>
    <t>MOSONMAGYARÓVÁR VÁROS ÖSSZESEN:</t>
  </si>
  <si>
    <t>Eredeti</t>
  </si>
  <si>
    <t>Majoroki Óvoda eredeti</t>
  </si>
  <si>
    <t>Óvodák eredeti összesen:</t>
  </si>
  <si>
    <t>Intézmények eredeti összesen:</t>
  </si>
  <si>
    <t>Hansági Múzeum eredeti</t>
  </si>
  <si>
    <t>eredeti</t>
  </si>
  <si>
    <t>Össz.:</t>
  </si>
  <si>
    <t>Összesen:</t>
  </si>
  <si>
    <t>Maradvány</t>
  </si>
  <si>
    <t>felhasználás</t>
  </si>
  <si>
    <t>Felhalmozási</t>
  </si>
  <si>
    <t>célú</t>
  </si>
  <si>
    <t>ÖNKORMÁNYZAT</t>
  </si>
  <si>
    <t>Működés egyenlege</t>
  </si>
  <si>
    <t>Fejlesztés egyenlege</t>
  </si>
  <si>
    <t>Felhalmozási bevételek össz.</t>
  </si>
  <si>
    <t>Bevételek mindösszesen</t>
  </si>
  <si>
    <t>Beruházási kamatköltségek</t>
  </si>
  <si>
    <t>Kiadások mindösszesen</t>
  </si>
  <si>
    <t>Folyószámla hitelkamat</t>
  </si>
  <si>
    <t>Bevétel és kiadás egyenlege</t>
  </si>
  <si>
    <t>Egyenleg:</t>
  </si>
  <si>
    <t>Ebből kötelező feladat</t>
  </si>
  <si>
    <t>Ebből önként vállalt feladat</t>
  </si>
  <si>
    <t>Eredeti előirányzatból</t>
  </si>
  <si>
    <t>Adóelengedés</t>
  </si>
  <si>
    <t>Ft</t>
  </si>
  <si>
    <t>Adókedvezmény</t>
  </si>
  <si>
    <t>Ingatlanértékesítés kedvezménye</t>
  </si>
  <si>
    <t>Finanszírozási terv</t>
  </si>
  <si>
    <t>Jan</t>
  </si>
  <si>
    <t>Febr</t>
  </si>
  <si>
    <t>Márc</t>
  </si>
  <si>
    <t>Ápr</t>
  </si>
  <si>
    <t>Máj</t>
  </si>
  <si>
    <t>Jún</t>
  </si>
  <si>
    <t>Júl</t>
  </si>
  <si>
    <t>Aug</t>
  </si>
  <si>
    <t>Szept</t>
  </si>
  <si>
    <t>Okt</t>
  </si>
  <si>
    <t>Nov</t>
  </si>
  <si>
    <t>Dec</t>
  </si>
  <si>
    <t>Intézményi működési bevételek</t>
  </si>
  <si>
    <t>Támogatásértékű működési bev.</t>
  </si>
  <si>
    <t>Működési c.pénzeszk.ÁH-n k.</t>
  </si>
  <si>
    <t>Támogatásértékű felhalm. bev.</t>
  </si>
  <si>
    <t>Felhalmozási c.pénz.átv.ÁH-n k.</t>
  </si>
  <si>
    <t>Helyi-,gépj. adó és talajt.d.</t>
  </si>
  <si>
    <t>Bevételek összesen:</t>
  </si>
  <si>
    <t>Segélyezés, ellátottak jutt.</t>
  </si>
  <si>
    <t>Támogatásért.műk.kiadás</t>
  </si>
  <si>
    <t>Műk.c.pénzeszk.átad ÁH-n kív.</t>
  </si>
  <si>
    <t>Fejlesztési hiteltörlesztés</t>
  </si>
  <si>
    <t>Fejlesztési kiadások</t>
  </si>
  <si>
    <t>Kamatok</t>
  </si>
  <si>
    <t>Kiadások összesen:</t>
  </si>
  <si>
    <t>Havi egyenleg</t>
  </si>
  <si>
    <t>Gönygyölített egyenleg</t>
  </si>
  <si>
    <t>Tartalék felhasználás</t>
  </si>
  <si>
    <t>KIADÁSOK MINDÖSSZESEN:</t>
  </si>
  <si>
    <t xml:space="preserve">Hiteltörlesztések, kamatfizetések és projektvizsgálati díjak (Ft-ban)           </t>
  </si>
  <si>
    <t>Hitel fajtája</t>
  </si>
  <si>
    <t xml:space="preserve">Felvétel </t>
  </si>
  <si>
    <t>Szerződés összege</t>
  </si>
  <si>
    <t>Szeződés azonosító</t>
  </si>
  <si>
    <t>fennálló</t>
  </si>
  <si>
    <t>éve</t>
  </si>
  <si>
    <t>összege</t>
  </si>
  <si>
    <t>állomány</t>
  </si>
  <si>
    <t>Nem közfoglalkoztatott</t>
  </si>
  <si>
    <t>Közfoglalkoztatott</t>
  </si>
  <si>
    <t>1 1</t>
  </si>
  <si>
    <t>Óvodák</t>
  </si>
  <si>
    <t>1 1 2</t>
  </si>
  <si>
    <t>1 1 3</t>
  </si>
  <si>
    <t>1 1 4</t>
  </si>
  <si>
    <t>1 1 5</t>
  </si>
  <si>
    <t>1 1 6</t>
  </si>
  <si>
    <t>1 1 7</t>
  </si>
  <si>
    <t>2 1</t>
  </si>
  <si>
    <t>2 1 1</t>
  </si>
  <si>
    <t>2 1 2</t>
  </si>
  <si>
    <t>4 1 1</t>
  </si>
  <si>
    <t>önként</t>
  </si>
  <si>
    <t>kötelező</t>
  </si>
  <si>
    <t>célú kölcsön</t>
  </si>
  <si>
    <t>Óvodák összesen</t>
  </si>
  <si>
    <t>Konszolidáció után állomány</t>
  </si>
  <si>
    <t>kötelező, államigazgatási</t>
  </si>
  <si>
    <t>Kötelezően ellátott feladatok</t>
  </si>
  <si>
    <t>ebből kötelező</t>
  </si>
  <si>
    <t>ebből önként vállalt</t>
  </si>
  <si>
    <t>kötelezőből államigazgatási</t>
  </si>
  <si>
    <t>Kötelező feladat ellátásból államigazgatási feladatellátáshoz kapcsolódó</t>
  </si>
  <si>
    <t>15.</t>
  </si>
  <si>
    <t>16.</t>
  </si>
  <si>
    <t>Közvetett támogatások</t>
  </si>
  <si>
    <t>17.</t>
  </si>
  <si>
    <t>18.</t>
  </si>
  <si>
    <t>Gördülő tervezés</t>
  </si>
  <si>
    <t>19.</t>
  </si>
  <si>
    <t>20.</t>
  </si>
  <si>
    <t>21.</t>
  </si>
  <si>
    <t>Megnevezés</t>
  </si>
  <si>
    <t>Bevétel</t>
  </si>
  <si>
    <t>Saját bevételek összesen</t>
  </si>
  <si>
    <t>Saját bevételek 50%-a</t>
  </si>
  <si>
    <t>keletkeztető ügyletből származó tárgyévi fizetési kötelezettség</t>
  </si>
  <si>
    <t>Egyéb intézmény összesen</t>
  </si>
  <si>
    <t>Egyéb intézmények</t>
  </si>
  <si>
    <t>22.</t>
  </si>
  <si>
    <t xml:space="preserve">Önkormányzat saját bevételeinek részletezése adósságot </t>
  </si>
  <si>
    <t>23.</t>
  </si>
  <si>
    <t>Adósságot keletkeztető feljesztési célok</t>
  </si>
  <si>
    <t>Iparűzési adó bevétel</t>
  </si>
  <si>
    <t>Intézményi működési bevételek Rovatszám: B4</t>
  </si>
  <si>
    <t>Állami támogatás Rovatszám: B816</t>
  </si>
  <si>
    <t>ÖK támogatás Rovatszám: B816</t>
  </si>
  <si>
    <t>Támog. ért.műk. Bevétel Rovatszám: B16</t>
  </si>
  <si>
    <t>Sajátos bevételek Rovatszám: B4</t>
  </si>
  <si>
    <t>működési Rovatszám: B8131</t>
  </si>
  <si>
    <t>Kormányzati funkció szerint</t>
  </si>
  <si>
    <t>Önk. Jogalkotó tevékenysége 011130</t>
  </si>
  <si>
    <t>Közhatalmi bevételek Rovatszám: B3</t>
  </si>
  <si>
    <t>Állami támogatás Rovatszám: B11</t>
  </si>
  <si>
    <t>Állampolgársági ügyek 016030</t>
  </si>
  <si>
    <t>Állami támogatás</t>
  </si>
  <si>
    <t>Egyéb közhatalmi bevételek (helyi adók nélkül)</t>
  </si>
  <si>
    <t>Rovatrend</t>
  </si>
  <si>
    <t>B4</t>
  </si>
  <si>
    <t>B16</t>
  </si>
  <si>
    <t>B11</t>
  </si>
  <si>
    <t>B3</t>
  </si>
  <si>
    <t>B8131</t>
  </si>
  <si>
    <t>B34</t>
  </si>
  <si>
    <t>B351</t>
  </si>
  <si>
    <t>B354</t>
  </si>
  <si>
    <t>B355</t>
  </si>
  <si>
    <t>B8111</t>
  </si>
  <si>
    <t>Önk. lak. és helyis. értékes. Rovatrend B52</t>
  </si>
  <si>
    <t>Kormányzati funkció</t>
  </si>
  <si>
    <t>Támog.ért. felhalm. bevétel Rovatrend B21, B25</t>
  </si>
  <si>
    <t>Személyi juttatások Rovatrend K1</t>
  </si>
  <si>
    <t>Járulékok Rovatrend K2</t>
  </si>
  <si>
    <t>Dologi kiadások Rovatrend K3</t>
  </si>
  <si>
    <t>Támog. ért.műk. Kiadások Rovatrend K506</t>
  </si>
  <si>
    <t>Kölcsön visszafizetése Rovatrend K91</t>
  </si>
  <si>
    <t>Városi személyszáll. 045140</t>
  </si>
  <si>
    <t>Finanszírozási műveletek</t>
  </si>
  <si>
    <t xml:space="preserve">önként </t>
  </si>
  <si>
    <t>Kölcsön/Hitel visszafizetése Rovatrend K91</t>
  </si>
  <si>
    <t>Családvédelem 074031</t>
  </si>
  <si>
    <t>Ifjúság egészségügy 074032</t>
  </si>
  <si>
    <t>Egyéb szociális támogtás</t>
  </si>
  <si>
    <t>Egyházak támogatása</t>
  </si>
  <si>
    <t>Turizmus támogatása</t>
  </si>
  <si>
    <t>Versenysportok támogatása</t>
  </si>
  <si>
    <t>Funkció/Feladat megnevezése</t>
  </si>
  <si>
    <t>Adóigazgatás 011220</t>
  </si>
  <si>
    <t>Beruházás Rovatrend    K 61-67</t>
  </si>
  <si>
    <t>Felújítás Rovatrend            K 71-74</t>
  </si>
  <si>
    <t>Támog.ért. felh.c. pénze. Átadása Rovatrend         K 81-84</t>
  </si>
  <si>
    <t>K1-K5</t>
  </si>
  <si>
    <t>K6-K8</t>
  </si>
  <si>
    <t>K9111</t>
  </si>
  <si>
    <t>K353</t>
  </si>
  <si>
    <t>Polgármesteri Hivatal és Önk. működési kiadás</t>
  </si>
  <si>
    <t>Egyéb közhatalmi bevételek</t>
  </si>
  <si>
    <t xml:space="preserve">2013. </t>
  </si>
  <si>
    <t>2013. I. félév</t>
  </si>
  <si>
    <t>Konszolidációval</t>
  </si>
  <si>
    <t>2013. II. félév törlesztés</t>
  </si>
  <si>
    <t>tőketörlesztés</t>
  </si>
  <si>
    <t>érintett</t>
  </si>
  <si>
    <t xml:space="preserve">2014. évi </t>
  </si>
  <si>
    <t>Állami támogatások</t>
  </si>
  <si>
    <t>Egyéb közhatlami bevételek</t>
  </si>
  <si>
    <t>Költségvetési engedélyezett létszámhelyek</t>
  </si>
  <si>
    <t>Ingatlanok, tárgyi eszközök értékesítése</t>
  </si>
  <si>
    <t>Ingatlanok, tárgyi eszk. értékesít. Rovatrend B52</t>
  </si>
  <si>
    <t>Összevont mérleg, bevételek és kiadások összesítése</t>
  </si>
  <si>
    <t>Összevont mérleg, működés és fejlesztés egyenlege</t>
  </si>
  <si>
    <t>Társadalom és szociálpolitikai juttatások Rovatrend  K4</t>
  </si>
  <si>
    <t>Támog. ért.műk. Kiadások, Elszámolások központi ktg-vetés felé Rovatrend K506, K5022</t>
  </si>
  <si>
    <t>Ostermayer Óvoda</t>
  </si>
  <si>
    <t>Működési c. pénze. átad. ÁH-n kívülre Rovatrend K512</t>
  </si>
  <si>
    <t>Tartalék Rovatrend K513</t>
  </si>
  <si>
    <t>Felh.célú pénze.átv. ÁH-n kív. B75</t>
  </si>
  <si>
    <t>B65</t>
  </si>
  <si>
    <t>B52</t>
  </si>
  <si>
    <t>B75</t>
  </si>
  <si>
    <t>B21, B25</t>
  </si>
  <si>
    <t>B74</t>
  </si>
  <si>
    <t>2014. dec. 31.</t>
  </si>
  <si>
    <t>BH-10-004-313-14</t>
  </si>
  <si>
    <t>2015. évi</t>
  </si>
  <si>
    <t>2016. évi</t>
  </si>
  <si>
    <t>2017. évi</t>
  </si>
  <si>
    <t>2018. évi</t>
  </si>
  <si>
    <t>3 havi BUBOR + 1,5 % kamatfelár</t>
  </si>
  <si>
    <t>szerződés szerinti összeg 0,5%-ka</t>
  </si>
  <si>
    <t>egyszeri</t>
  </si>
  <si>
    <t>Költségek mindösszesen évenként</t>
  </si>
  <si>
    <t>tőketörlesztés, kamat, projektvizsgálati díj</t>
  </si>
  <si>
    <t>Többéves kihatású kötelezettségek általnos működtetési költségeken kívül (e Ft)</t>
  </si>
  <si>
    <t>Mosonmagyaróvári Önkormányzati Rendészet</t>
  </si>
  <si>
    <t>900060 Forgatási és befektetési célú műveletek</t>
  </si>
  <si>
    <t>Hitelfelvétel</t>
  </si>
  <si>
    <t>B814</t>
  </si>
  <si>
    <t>Államháztartási megelőlegezés</t>
  </si>
  <si>
    <t>B81</t>
  </si>
  <si>
    <t>Hulladékigazgatás 051010</t>
  </si>
  <si>
    <t>Önkormányzati funkcióra nem sorolható bevételek 900020</t>
  </si>
  <si>
    <t>Működési c. pénze. átad. ÁH-n kívülre Rovatrend K512, működési kölcsön nyújtása K508</t>
  </si>
  <si>
    <t>K914</t>
  </si>
  <si>
    <t>Államháztartási megelőlegezés visszafizetése</t>
  </si>
  <si>
    <t>045120</t>
  </si>
  <si>
    <t>.018030 (.011130)</t>
  </si>
  <si>
    <t>5 1 1</t>
  </si>
  <si>
    <t>Mosomagyaróvári Önkormányzati Rendészet</t>
  </si>
  <si>
    <t>Település egészségügyi és védőnői szolgálat feladatok</t>
  </si>
  <si>
    <t>Államháztartási megelőlegezés 368/2011. (XII.31.) Korm. Rendelet 122/A. § (2) f) pontja alapján</t>
  </si>
  <si>
    <t>Államháztartási megelőlegezés visszavonása368/2011. (XII.31.) Korm. Rendelet 122/A. § (2) f) pontja alapján</t>
  </si>
  <si>
    <t>2019. évi</t>
  </si>
  <si>
    <t>Működési bevételek, Mosonmagyaróvári Önkormányzati Rendészet</t>
  </si>
  <si>
    <t>Működési kiadások, Mosonmagyaróvári Önkormányzati Rendészet</t>
  </si>
  <si>
    <t>Működési bevételek, Önkormányzat, Polgármesteri Hivatal és Mosonmagyaróvári Önkormányzati Rendészet</t>
  </si>
  <si>
    <t>Működési kiadások, Önkormányzat, Polgármesteri Hivatal és Mosonmagyaróvári Önkormányzati Rendészet összevontan</t>
  </si>
  <si>
    <t>Közterület rendjének fenntartása 031030</t>
  </si>
  <si>
    <t>.018030 (031030)</t>
  </si>
  <si>
    <t>Településfejlesztéshez kapcsolódó projekt, szketorhoz nem köthető komplett projekt Cofog: 062020, 047450</t>
  </si>
  <si>
    <t>Önkormányzati vagyonnal való gazdálkodás</t>
  </si>
  <si>
    <t>megtérülés áht. Kívülről</t>
  </si>
  <si>
    <t>.062020, 047450</t>
  </si>
  <si>
    <t>Projektek</t>
  </si>
  <si>
    <t>Nemzetiségi önk. Támogatása</t>
  </si>
  <si>
    <t>Központi költségvetési befizetések, államháztartási megelőlegezés</t>
  </si>
  <si>
    <t>Védőnői szolgálat szakmai tárgyi eszközök beszerzése</t>
  </si>
  <si>
    <t>Közfoglalkoztatás</t>
  </si>
  <si>
    <t>101150, 107060</t>
  </si>
  <si>
    <t>Egyéb szociális pénzbeli ell., ápolási díj</t>
  </si>
  <si>
    <t>Idősek bentlakásos otthonának ktg. Elszámolása, Térségi társulással kapcsolatos elszámolások</t>
  </si>
  <si>
    <t>Bevételek, kiadások összesítése  Ft-ban</t>
  </si>
  <si>
    <t>MŰKÖDÉSI BEVÉTELEK - INTÉZMÉNYEK (Ft)</t>
  </si>
  <si>
    <t>Önkormányzat működési bevételei adatok  Ft-ban</t>
  </si>
  <si>
    <t>Mosonmagyaróvári Önkormányzati Rendészet bevételei Ft-ban</t>
  </si>
  <si>
    <t>MŰKÖDÉSI BEVÉTELEK - Önkormányzat, Polgármesteri Hivatal és Önkormányzati Rendészet(Ft)</t>
  </si>
  <si>
    <t>FELHALMOZÁSI BEVÉTELEK (Ft)</t>
  </si>
  <si>
    <t>MŰKÖDÉSI KIADÁSOK - INTÉZMÉNYEK (Ft)</t>
  </si>
  <si>
    <t>Önkormányzat működési kiadásai adatok Ft-ban</t>
  </si>
  <si>
    <t>Polgármesteri Hivatal működési kiadásai adatok  Ft-ban</t>
  </si>
  <si>
    <t>Mosonmagyaróvári Önkormányzati Rendészet működési kiadásai Ft-ban</t>
  </si>
  <si>
    <t>Önkormányzat, Polgármesteri Hivatal és Önkormányzati Rendészet működési kiadásai ( Ft-ban)</t>
  </si>
  <si>
    <t>FELHALMOZÁSI KIADÁSOK adatok Ft-ban</t>
  </si>
  <si>
    <t>adatok Ft-ban</t>
  </si>
  <si>
    <t>alakulását bemutató mérleg adatok Ft-ban</t>
  </si>
  <si>
    <t>fejlesztési céljai (adatok Ft-ban)</t>
  </si>
  <si>
    <t>Sorszám</t>
  </si>
  <si>
    <t>Partner</t>
  </si>
  <si>
    <t>Szerződéskötés dátuma</t>
  </si>
  <si>
    <t>Szerződés összege (Ft)</t>
  </si>
  <si>
    <t>Szerződés tárgya</t>
  </si>
  <si>
    <t xml:space="preserve"> - </t>
  </si>
  <si>
    <t>Movinnov Kft.</t>
  </si>
  <si>
    <t>314 960 Ft / év</t>
  </si>
  <si>
    <t>Generali Biztosító Zrt.</t>
  </si>
  <si>
    <t>szakmai felelősségbiztosítás - Védőnők</t>
  </si>
  <si>
    <t>vagyonbiztosítás</t>
  </si>
  <si>
    <t>Dr. Printz és Tsa. Kft.</t>
  </si>
  <si>
    <t>könyvvizsgálói feladatok ellátása</t>
  </si>
  <si>
    <t>Patent Távfelügyelet Kft.</t>
  </si>
  <si>
    <t>térfigyelő rendszer karbantartása</t>
  </si>
  <si>
    <t>Dr. Varga László</t>
  </si>
  <si>
    <t>jogi szolgálatatás</t>
  </si>
  <si>
    <t>Magyar Telekom Nyrt.</t>
  </si>
  <si>
    <t>Arrabona EGTC</t>
  </si>
  <si>
    <t>tagdíj</t>
  </si>
  <si>
    <t>Szigetköz Turzimusáért Egyesület</t>
  </si>
  <si>
    <t>180 000 Ft / év</t>
  </si>
  <si>
    <t>Városi TV és Médiacentrum Kft.</t>
  </si>
  <si>
    <t>5 074 920 Ft / év</t>
  </si>
  <si>
    <t>hírügynöki- és reklámtevékenység</t>
  </si>
  <si>
    <t>lift karbantartás</t>
  </si>
  <si>
    <t>WinTiszt humánpolitikai programrendszer követése, karbantartása</t>
  </si>
  <si>
    <t>MIRCOMP Kft.</t>
  </si>
  <si>
    <t>számítógépes hálózat üzemeltetése</t>
  </si>
  <si>
    <t>Komunáldata Kft.</t>
  </si>
  <si>
    <t>eKÖZIG Zrt.</t>
  </si>
  <si>
    <t>Közinformatika Közig. Inf. Szolg. Kp. Kft.</t>
  </si>
  <si>
    <t>elektronikus információbiztonsági rendszer</t>
  </si>
  <si>
    <t>megállapításához adatok  Ft-ban</t>
  </si>
  <si>
    <t xml:space="preserve">Többéves kihatású kötelezettségek </t>
  </si>
  <si>
    <t xml:space="preserve">EU-s támogatással megvalósuló projektek </t>
  </si>
  <si>
    <t xml:space="preserve">A városi kultúra, sport és egyéb önszerveződő közösségek támogatása </t>
  </si>
  <si>
    <t>Elvonások Támog. ért.műk. Kiadások Rovatrend K502  K506</t>
  </si>
  <si>
    <t>Adóigazgatási ügyek 011120</t>
  </si>
  <si>
    <t>Kölcsön/Hitel visszafizetése, államháztartási megelőlegezés visszafizetése Rovatrend K91</t>
  </si>
  <si>
    <t>018030</t>
  </si>
  <si>
    <t>Felh.c. pénzeszk. átad. ÁH-n kívüre Rovatrend       K 85-89</t>
  </si>
  <si>
    <t>013350</t>
  </si>
  <si>
    <t>066010</t>
  </si>
  <si>
    <t>064010</t>
  </si>
  <si>
    <t xml:space="preserve">Fejlesztési </t>
  </si>
  <si>
    <t>EBBŐL ÖNKORMÁNYZAT</t>
  </si>
  <si>
    <t>Működési c. pénze. átv. ÁH-n kívülről Rovatszám: B63-65</t>
  </si>
  <si>
    <t>Működési c. pénze. átv. ÁH-n kívülről Rovatszám: B63- B65</t>
  </si>
  <si>
    <t>Műk.c.pénzeszköz átv.ÁH-n kívülről, visszatérítendő működési támogatás</t>
  </si>
  <si>
    <t>Felhalmozási célú kölcsönök, visszatérítendő támogatások visszatérülése</t>
  </si>
  <si>
    <t>Kölcsönök visszatérülése, visszatérítendő működési támogatás</t>
  </si>
  <si>
    <t>Ellátottak juttatása</t>
  </si>
  <si>
    <t>Kölcsönök, visszatérítendő támogatások visszatérülése</t>
  </si>
  <si>
    <t>2020. évi</t>
  </si>
  <si>
    <t>2021. évi</t>
  </si>
  <si>
    <t>2022. évi</t>
  </si>
  <si>
    <t>2023. évi</t>
  </si>
  <si>
    <t>2024. évi</t>
  </si>
  <si>
    <t>Kölcsönszerződés beruházási célú Kölcsönhöz Duna Takarék Bank Zrt. (útépítés)</t>
  </si>
  <si>
    <t>Beruházási célú kölcsön állománya adott év végén Duna Takarék Bank Zrt. (útépítés)</t>
  </si>
  <si>
    <t>Kalkulált kamatfizetési kötelezettség  Kölcsönhöz Duna Takarék Bank Zrt. (útépítés)</t>
  </si>
  <si>
    <t>Projektvizsgálati díj (Duna Takarék Bank Zrt. - útépítés)</t>
  </si>
  <si>
    <t>Költségek mindösszesen évenként Duna Takarék Bank Zrt. (útépítés)</t>
  </si>
  <si>
    <t>Kölcsönszerződés célhitel igénybevételéhez OTP Bank Nyrt. - Naperőmű-park létesítése</t>
  </si>
  <si>
    <t>Fejlesztési célú kölcsön állománya adott év végén (OTP Bank Nyrt. Naperőmű-park létesítése)</t>
  </si>
  <si>
    <t>3 havi BUBOR + 1,238 % p.a. kamatfelár</t>
  </si>
  <si>
    <t>Kalkulált kamatfizetési kötelezettség (OTP Bank Nyrt. Naperőmű-park létesítése)</t>
  </si>
  <si>
    <t>Proejktvizsgálati díj és egyéb költség nem kerül felszámításra (OTP Bank Nyrt. Naperőmű-park létesítése)</t>
  </si>
  <si>
    <t>nincs</t>
  </si>
  <si>
    <t>Költségek mindösszesen évenkét (OTP Bank Nyrt. Naperőmű-park létesítése)</t>
  </si>
  <si>
    <t>Kölcsön állomány adott év végén mindösszesen</t>
  </si>
  <si>
    <t>Partner Service Kft.</t>
  </si>
  <si>
    <t>3 048 000Ft / év</t>
  </si>
  <si>
    <t>Városháza beléptető, tűzjelző, riasztó karbantartása</t>
  </si>
  <si>
    <t xml:space="preserve">Mosonmagyaróvár Város Önkormányzat adósságot keletkeztető </t>
  </si>
  <si>
    <t>szakmai felelősségbizt.-egészségügy</t>
  </si>
  <si>
    <t>30 Ft/         lakosságszám/év</t>
  </si>
  <si>
    <t>EVROFIN Kft.</t>
  </si>
  <si>
    <t>Sarlai Munkabiztonsági Iroda Bt.</t>
  </si>
  <si>
    <t>tűzvédelmi szolgáltatás</t>
  </si>
  <si>
    <t>Győr.Net Internetszolgáltató Kft.</t>
  </si>
  <si>
    <t>weboldal üzemeltetése</t>
  </si>
  <si>
    <t>Szám-Adó Kft.</t>
  </si>
  <si>
    <t>MANKÓ szoftver rendszerfelügyelet</t>
  </si>
  <si>
    <t>munkavédelem Hivatal</t>
  </si>
  <si>
    <t>munkavédelem Rendészet</t>
  </si>
  <si>
    <t>orvosi rendelő bérleti díja</t>
  </si>
  <si>
    <t>Moson Patika Bt.</t>
  </si>
  <si>
    <t>Többéves kihatású kötelezettségek általános működtetési költségeken kívül  Ft-ban</t>
  </si>
  <si>
    <t>1. oldal</t>
  </si>
  <si>
    <t>Projekt neve</t>
  </si>
  <si>
    <t>azonosító</t>
  </si>
  <si>
    <t>Támogatás összege</t>
  </si>
  <si>
    <t>Támogatás intenzitása</t>
  </si>
  <si>
    <t>Támogatás állapota</t>
  </si>
  <si>
    <t>Időszak</t>
  </si>
  <si>
    <t>Megjegyzés</t>
  </si>
  <si>
    <t>Közegészségügyi szolgáltatások, Fogorvosi ügyelet finanszírozása (védőnői szolg., ifjúság eü.) 074031, 072390</t>
  </si>
  <si>
    <t>célra</t>
  </si>
  <si>
    <t>Kötvény visszaváltás Rovat B812</t>
  </si>
  <si>
    <t xml:space="preserve">Felhalmozási célú munkáltatói kölcsön, és felhalmozási célú visszatérítendő támogatásmegtérülése </t>
  </si>
  <si>
    <t>Választási eljárás 016010</t>
  </si>
  <si>
    <t>B812</t>
  </si>
  <si>
    <t>Kötvény visszaváltás</t>
  </si>
  <si>
    <t>Önk. Vagyonnal való gazdálkodás (Movinnov Kft. Által kezelt)</t>
  </si>
  <si>
    <t>.013350, 062020</t>
  </si>
  <si>
    <t>Könyvtári szolgáltatások 082044</t>
  </si>
  <si>
    <t>Önk. Vagyonnal való gazdálkodás és Városgazdálkodás</t>
  </si>
  <si>
    <t>013350 066020</t>
  </si>
  <si>
    <t>Kötvény visszaváltása</t>
  </si>
  <si>
    <t>2018.szeptember 30-ig</t>
  </si>
  <si>
    <t>közbeszerzési tanácsadás</t>
  </si>
  <si>
    <t>lakás- és helyiségkezelés bonyolítása</t>
  </si>
  <si>
    <t>VÜF Kft.</t>
  </si>
  <si>
    <t>intézmények fűtési rendszerének üzemeltetése</t>
  </si>
  <si>
    <t>Khaut Zsolt</t>
  </si>
  <si>
    <t>kamerarendszer felügyelete Magyar utca</t>
  </si>
  <si>
    <t>AEGON Biztosító Zrt.</t>
  </si>
  <si>
    <t>NRG Services Kft.</t>
  </si>
  <si>
    <t>Naperőmű park -internet kapcsolat</t>
  </si>
  <si>
    <t>45 720 Ft / év</t>
  </si>
  <si>
    <t>ebnyilvántartó</t>
  </si>
  <si>
    <t>Green Doc Systems Kft.</t>
  </si>
  <si>
    <t>IPS nyomtatásvezérlő szoftverkövetési díj</t>
  </si>
  <si>
    <t>vizuál regiszter Önkormányzat alapnyilvántartásokat támogató rendszer</t>
  </si>
  <si>
    <t>Saldo Pénzügyi és Tanácsadó Kft.</t>
  </si>
  <si>
    <t>tanácsadás, belső ellenőrök klubja</t>
  </si>
  <si>
    <t>Wolters Kluwer Kft.</t>
  </si>
  <si>
    <t>* A többéves kötelezettségvállalásra vonatkozó táblázat nem tartalmazza a rezsi költségeket, illetve a Városüzemeltető és az Önkormányzat gazdasági társaságainak üzleti terve szerinti szolgáltatásokat, támogatásokat.</t>
  </si>
  <si>
    <t>Államkötvény visszaváltása</t>
  </si>
  <si>
    <t>Szolidartiási elvonás és egyéb elvonások</t>
  </si>
  <si>
    <t>Maradvány felhasználás</t>
  </si>
  <si>
    <t>13. melléklet</t>
  </si>
  <si>
    <t>2. melléklet</t>
  </si>
  <si>
    <t>6. melléklet</t>
  </si>
  <si>
    <t>7. melléklet</t>
  </si>
  <si>
    <t>11. melléklet</t>
  </si>
  <si>
    <t>14. melléklet</t>
  </si>
  <si>
    <t>16. melléklet</t>
  </si>
  <si>
    <t>17. melléklet</t>
  </si>
  <si>
    <t>19. melléklet</t>
  </si>
  <si>
    <t>20. melléklet</t>
  </si>
  <si>
    <t>21. melléklet</t>
  </si>
  <si>
    <t>22. melléklet</t>
  </si>
  <si>
    <t>23. melléklet</t>
  </si>
  <si>
    <t>062020</t>
  </si>
  <si>
    <t>önként vállalt feladat</t>
  </si>
  <si>
    <t>kötelezőből államigazgatási feladat</t>
  </si>
  <si>
    <t>visszatérülés Rovatrend B74, B75</t>
  </si>
  <si>
    <t>Visszatérítendő fejlesztési célú támogatás Vízisport Egyesület</t>
  </si>
  <si>
    <t>900060 Forgatási és befektetési célú műveletek és 018030 Finanszírozási műveletek</t>
  </si>
  <si>
    <t>Védett épületek felújításának támogatása</t>
  </si>
  <si>
    <t>061020</t>
  </si>
  <si>
    <t>Zöldterületek felújítása, kapcsolódó tárgyi eszközök felújítása</t>
  </si>
  <si>
    <t>Közvilágítás fejlesztése</t>
  </si>
  <si>
    <t>074031</t>
  </si>
  <si>
    <t>076062</t>
  </si>
  <si>
    <t>Állam- és önkormányzati kötvény beváltása</t>
  </si>
  <si>
    <t>90. életévét betöltő, mosonmagyaróvári állandó lakcímmel rendelkezők teljes ellátására vonatkozó szociális támogatása</t>
  </si>
  <si>
    <t>Maradványfelhasználás</t>
  </si>
  <si>
    <t>120 650 Ft/hó</t>
  </si>
  <si>
    <t>Lajta  Facility Kft.</t>
  </si>
  <si>
    <t>2015.09.28, szerződés módosítás 2018., 2019.</t>
  </si>
  <si>
    <t>Groupama Garancia Biztosító Zrt.</t>
  </si>
  <si>
    <t>kötelező gépjármű-felelősségbizt. (RHR-786 Rendészet)</t>
  </si>
  <si>
    <t>Casco biztosítás - RHR-786</t>
  </si>
  <si>
    <t>1 828 800 Ft/év</t>
  </si>
  <si>
    <t>Pálffy-villa takarítása</t>
  </si>
  <si>
    <t>Támog. ért.műk. Kiadások, visszafizetési kötelezettségek Rovatrend K506, K502</t>
  </si>
  <si>
    <t>Közvilágítással kapcsolatos feladatok</t>
  </si>
  <si>
    <t>Fertőző megbetegedések megelőzése, járványügyi ellátás</t>
  </si>
  <si>
    <t>074040</t>
  </si>
  <si>
    <t>Jogalkotás, polgár és honvéd. Tev., balesetmegelőzés</t>
  </si>
  <si>
    <t>011130, 022010, 031070</t>
  </si>
  <si>
    <t>Polgármesteri Hivatal és Önkormányzat és Rendészet</t>
  </si>
  <si>
    <t>Maradvány felhasználás Önkormányzat B813</t>
  </si>
  <si>
    <t>Állampapír beváltás összesen</t>
  </si>
  <si>
    <t>1.</t>
  </si>
  <si>
    <t>9.</t>
  </si>
  <si>
    <t>566 179 Ft/hó</t>
  </si>
  <si>
    <t>25.</t>
  </si>
  <si>
    <t>26.</t>
  </si>
  <si>
    <t>27.</t>
  </si>
  <si>
    <t>28.</t>
  </si>
  <si>
    <t>241 785 Ft/év</t>
  </si>
  <si>
    <t>29.</t>
  </si>
  <si>
    <t>31.</t>
  </si>
  <si>
    <t>32.</t>
  </si>
  <si>
    <t>30 Ft/lakosságszám/év</t>
  </si>
  <si>
    <t xml:space="preserve">tagdíj 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</si>
  <si>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</si>
  <si>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</si>
  <si>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</si>
  <si>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</si>
  <si>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</si>
  <si>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</si>
  <si>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</si>
  <si>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</si>
  <si>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</si>
  <si>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takarítás </t>
  </si>
  <si>
    <t>42.</t>
  </si>
  <si>
    <t>43.</t>
  </si>
  <si>
    <t>45.</t>
  </si>
  <si>
    <t>46.</t>
  </si>
  <si>
    <t>47.</t>
  </si>
  <si>
    <t>1 828 800 Ft / év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</si>
  <si>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</si>
  <si>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</si>
  <si>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</si>
  <si>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</si>
  <si>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</si>
  <si>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</si>
  <si>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</si>
  <si>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</si>
  <si>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</si>
  <si>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</si>
  <si>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</si>
  <si>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</si>
  <si>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62.</t>
  </si>
  <si>
    <t>63.</t>
  </si>
  <si>
    <t>Bartók Béla u. 28. Társasház</t>
  </si>
  <si>
    <t>védett építészeti érték tetőszerkezet cseréje</t>
  </si>
  <si>
    <t>Városüzemetető és Fenntartó Kft.</t>
  </si>
  <si>
    <t>1 592 568 Ft / év</t>
  </si>
  <si>
    <t>PH  fűtési és hűtési berendezéseinek üzemeltetése és karbantartása</t>
  </si>
  <si>
    <t>Multi Alarm Zrt.</t>
  </si>
  <si>
    <t>liftvészjelzés (Pálffy-villa)</t>
  </si>
  <si>
    <t>Menedzser Praxis Szakkiadó és Gazdasági Tanácsadó Kft.</t>
  </si>
  <si>
    <t>adatvédelmi tisztviselő részére kötelezően előírt feladatok ellátása</t>
  </si>
  <si>
    <t>KGFB - Volvo (SAY-200)</t>
  </si>
  <si>
    <t>Casco - Volvo (SAY-200)</t>
  </si>
  <si>
    <t>gépjármű-felelősségbiztosítás - Renault Clio (RWL-769)</t>
  </si>
  <si>
    <t>CASCO biztosítás - Renault Clio (RWL-769)</t>
  </si>
  <si>
    <t>EU-s támogatással megvalósuló projektek (adatok Ft)</t>
  </si>
  <si>
    <t>Leutalt előleg</t>
  </si>
  <si>
    <t>felhasználás, ÁHT. Belüli megelőlegezés, értékpapír beváltása</t>
  </si>
  <si>
    <t>működési Rovatszám: B812, B8131, B814</t>
  </si>
  <si>
    <r>
      <rPr>
        <b/>
        <sz val="10"/>
        <rFont val="Arial"/>
        <family val="2"/>
        <charset val="238"/>
      </rPr>
      <t xml:space="preserve">Önkormányzati rendészet </t>
    </r>
    <r>
      <rPr>
        <sz val="10"/>
        <rFont val="Arial"/>
        <family val="2"/>
        <charset val="238"/>
      </rPr>
      <t>működéshez szükséges eszközök beszerzése, pótlása</t>
    </r>
  </si>
  <si>
    <t>Önkormányzatok elszámolásai központi költségvetési szervekkel Cofog 018010</t>
  </si>
  <si>
    <t xml:space="preserve"> Támogatási célú finanszírozási műveletek018030</t>
  </si>
  <si>
    <t>Útépítés 045120</t>
  </si>
  <si>
    <t>Lakossági befizetések</t>
  </si>
  <si>
    <t>Útépítés és felújítás, járdaépítés és felújítás, marás- aszfaltozás, hidak műszaki állapotának felülvizsgálata kormányzati funkción tervezett fejlesztési előirányzatok</t>
  </si>
  <si>
    <t>Jogcím</t>
  </si>
  <si>
    <t xml:space="preserve">önkormányzati hivatal működés támogatása </t>
  </si>
  <si>
    <t xml:space="preserve">Település üzemeltetéssel kapcsolatos feladatok     </t>
  </si>
  <si>
    <t>zöldterület gazdálkodási feladatok</t>
  </si>
  <si>
    <t xml:space="preserve">közvilágítás </t>
  </si>
  <si>
    <t xml:space="preserve">közutak fenntartása                         </t>
  </si>
  <si>
    <t xml:space="preserve">egyéb önkormányzati feladatok   </t>
  </si>
  <si>
    <t xml:space="preserve">Lakott külterülettel kapcsolatos támogatás </t>
  </si>
  <si>
    <t>Település önkormányzat működésének általános támogatása összesen</t>
  </si>
  <si>
    <t>Óvodaműködtetési támogatás</t>
  </si>
  <si>
    <t>Nemzetiségi pótlék</t>
  </si>
  <si>
    <t>Kiegészítő támogatás óvodapedagógusok minősítése alapján</t>
  </si>
  <si>
    <t>Település önkormányzat köznevelési feladatainak támogatása</t>
  </si>
  <si>
    <t>Gyermekétkeztetés támogatása szakmai dolgozók támogatása</t>
  </si>
  <si>
    <t>Szünidei étkeztetés támogatása</t>
  </si>
  <si>
    <t>Település önkormányzatok gyermekétkeztetési támogatása</t>
  </si>
  <si>
    <t>Település önkormányzat bölcsődei feladat támogatása</t>
  </si>
  <si>
    <t>Szociális étkeztetés</t>
  </si>
  <si>
    <t>Házi segítségnyújtás</t>
  </si>
  <si>
    <t>Időskorúak nappali int. Ellátása</t>
  </si>
  <si>
    <t>Fogyatékos és demens személyek ell.</t>
  </si>
  <si>
    <t>Hajléktalanok nappali ellátása</t>
  </si>
  <si>
    <t>Hajléktalanok átmeneti ellátása</t>
  </si>
  <si>
    <t>Hajléktalanok nappali intézményi ellátása - a szociál- és nyugdíjpolitikáért felelős miniszter által kijelölt intézmény</t>
  </si>
  <si>
    <t>Bértámogatás szociális szféra</t>
  </si>
  <si>
    <t>Óvodai és iskolai szociális segítő tevékenység támogatása*</t>
  </si>
  <si>
    <t>Település önkormányzat szociális feladatainak támogatása</t>
  </si>
  <si>
    <t>Állami támogatás összesen</t>
  </si>
  <si>
    <t>Szolidaritási elvonás</t>
  </si>
  <si>
    <t>Rovat</t>
  </si>
  <si>
    <t>B111</t>
  </si>
  <si>
    <t>ebből</t>
  </si>
  <si>
    <t>B112</t>
  </si>
  <si>
    <t>B113</t>
  </si>
  <si>
    <t>B114</t>
  </si>
  <si>
    <t>Közművelődési Támogatások összesen</t>
  </si>
  <si>
    <t xml:space="preserve"> - ebből felosztható Alap (Közművelődési Alap)</t>
  </si>
  <si>
    <t xml:space="preserve"> - kiemelt rendezvények, támogatott személyek összesen</t>
  </si>
  <si>
    <t>Mosonmagyaróvári Kulturális Egyesület (Moson megyei Színjátszó Találkozó lebonyolítása)</t>
  </si>
  <si>
    <t>Lajta Néptáncegyesület</t>
  </si>
  <si>
    <t>Mosonmagyaróvári Civil Szövetség</t>
  </si>
  <si>
    <t>"KÜHNE FÚVÓSZENEKARÉRT" Alapítvány</t>
  </si>
  <si>
    <t>MOFÉM Művészeti Egyesület</t>
  </si>
  <si>
    <t>MOSON BIG BAND támogatása</t>
  </si>
  <si>
    <t>Szent László emléknap</t>
  </si>
  <si>
    <t>Gazdász Néptáncegyesület</t>
  </si>
  <si>
    <t>Kis-Duna Polgárőr Egyesület támogatása</t>
  </si>
  <si>
    <t>Sport Támogatások összesen</t>
  </si>
  <si>
    <t>Felosztható Alap (Sport Alap)</t>
  </si>
  <si>
    <t>Kiemelt szervezetek, támogatott személyek összesen</t>
  </si>
  <si>
    <t>Mosonmagyaróvári Atlétikai Club</t>
  </si>
  <si>
    <t xml:space="preserve">Első Mosonmagyaróvári Torna Egylet 1904 </t>
  </si>
  <si>
    <t xml:space="preserve">MTE 1904 Korlátolt Felelősségű Társaság támogatása </t>
  </si>
  <si>
    <t>MITE Mosonmagyaróvári Ifjúsági Tornaegyesület</t>
  </si>
  <si>
    <t>Szakszövetségi rendezvények, diáksport támogatása és kulturális feladatok támogatása</t>
  </si>
  <si>
    <t>Mosonmagyaróvári Gazdászok Atlétikai Clubja Diáksport Egyesület</t>
  </si>
  <si>
    <t xml:space="preserve">Szenyor Kerékpáros Szabadidő Sport Egyesület </t>
  </si>
  <si>
    <t>Mosonmagyaróvári Strucc Futóklub Sportegyesület</t>
  </si>
  <si>
    <t>Köznevelési Alap</t>
  </si>
  <si>
    <t>Egészségvédelmi Alap</t>
  </si>
  <si>
    <t>Egyéb támogatások</t>
  </si>
  <si>
    <t xml:space="preserve">Mosonmagyaróvári Szűz Mária Királynő és Szent Gotthárd Római Katolikus Plébánia (Magyaróvári Plébánia) </t>
  </si>
  <si>
    <t>Mosoni Nepomuki Szent János Plébánia</t>
  </si>
  <si>
    <t>Evangélikus Egyházközség</t>
  </si>
  <si>
    <t>Református Egyházközség</t>
  </si>
  <si>
    <t>Piarista Rendház</t>
  </si>
  <si>
    <t>Mosoni Zsidó Hitközség</t>
  </si>
  <si>
    <t>Egyéb kisebb támogatások</t>
  </si>
  <si>
    <t>Óvári Gazdászok Szövetsége Egyesület</t>
  </si>
  <si>
    <t>Választókerületi támogatás keret</t>
  </si>
  <si>
    <t>Környezetvédelmi alap</t>
  </si>
  <si>
    <t>Frakció támogatás</t>
  </si>
  <si>
    <t>Bursa</t>
  </si>
  <si>
    <t>Hospice Segítőkéz-Alapítvány</t>
  </si>
  <si>
    <t>Kezesség- illetve garanciavállalással kapcsolatos megtérülés</t>
  </si>
  <si>
    <t>Helyi adó és településadóból származó bevétel</t>
  </si>
  <si>
    <t>Az önkormányzati vagyon és az önkormányzatot megillető vagyoni értékű jog értékesítéséből és hasznosításából származó bevétel</t>
  </si>
  <si>
    <t>Az osztalék, a koncessziós díj és a hozambevétel</t>
  </si>
  <si>
    <t>A tárgyi eszköz és az immateriális jószág, részvény, részesedés, vállalat értékesítéséből vagy privatizációból származó bevétel,</t>
  </si>
  <si>
    <t>Bírság, pótlék és díjbevétel</t>
  </si>
  <si>
    <t>Településfejlesztéshez kapcsolódó projekt, szketorhoz nem köthető komplett projekt Cofog: 045120</t>
  </si>
  <si>
    <t>Szigetköz Turizmusáért Egyesület</t>
  </si>
  <si>
    <t>Moson megyei tárlati díj (Hansági Múzeum)</t>
  </si>
  <si>
    <t>081041, 081045, 084031, 084032</t>
  </si>
  <si>
    <t>Városrészi Egyesületek támogatása (Ipartelepi Lakosok Egyesülete, Mosoni Polgári Kör Közhasznú Egyesület, „MAJOROKI KÖR” Egyesület)</t>
  </si>
  <si>
    <t>VIGÓ Sport Egyesület</t>
  </si>
  <si>
    <t>Magyar Köztisztviselők, Közalkalmazottak és Közszolgálati Dolgozók Szakszervezete (Mosonmagyaróvári Polgármesteri Hivatali Szervezete)</t>
  </si>
  <si>
    <t>"Újjáéledés Alapítvány" támogatása</t>
  </si>
  <si>
    <t>Mosonmagyaróvári Városvédő Egyesület - Hősi halottak kápolna és sírok fenntartása</t>
  </si>
  <si>
    <t>4.</t>
  </si>
  <si>
    <t>24.</t>
  </si>
  <si>
    <t>TK Elevator Eastern Europe GmbH Magyarországi fióktelep</t>
  </si>
  <si>
    <t>30.</t>
  </si>
  <si>
    <t>30 480 Ft / év</t>
  </si>
  <si>
    <t>Ipari- és kereskedelmi rendszer publikálás terméktámogatási szolgáltatás</t>
  </si>
  <si>
    <t>392 430 Ft / év</t>
  </si>
  <si>
    <t>Borítékoló automata szerződéses karbantartása</t>
  </si>
  <si>
    <t>44.</t>
  </si>
  <si>
    <t>kötelező gépjármű felelősségbiztosítás (PVX-566) - Rendészet</t>
  </si>
  <si>
    <t>házgondnoki és karbantartási feladatok ellátása</t>
  </si>
  <si>
    <t>Mod Zrt.</t>
  </si>
  <si>
    <t>132 588 Ft / év</t>
  </si>
  <si>
    <t>fénymásoló bérleti díja (Rendészet)</t>
  </si>
  <si>
    <t>Ádám Tibor e.v.</t>
  </si>
  <si>
    <t>takarítás (Rendészet)</t>
  </si>
  <si>
    <t>BENKE Corporation Szállítmányozó Kft.</t>
  </si>
  <si>
    <t>780 000 Ft / év</t>
  </si>
  <si>
    <t>eszállításra kerülő gépjárművek tárolása (Rendészet)</t>
  </si>
  <si>
    <t>2022-ben bruttó 1.778.000 Ft/hó, 2023. február 1-jétől 1 270 000 Ft/hó</t>
  </si>
  <si>
    <t>18 405 958 Ft / év 2022. évtől 10% emelést prognosztizált</t>
  </si>
  <si>
    <t>Karolina-Kórház Rendelőintézet működési támogatása</t>
  </si>
  <si>
    <t>Állami hozzájárulások</t>
  </si>
  <si>
    <t>Szabadidő sport tevékenység támogatása                                               Eseti támogatási keret</t>
  </si>
  <si>
    <t>Fogorvosok, háziorvosok praxis létesítése és szolgáltatás elindítása támogatása</t>
  </si>
  <si>
    <t>3. melléklet</t>
  </si>
  <si>
    <t>5. melléklet</t>
  </si>
  <si>
    <t>10. melléklet</t>
  </si>
  <si>
    <t>8. melléklet</t>
  </si>
  <si>
    <t>12. melléklet</t>
  </si>
  <si>
    <t>18. melléklet</t>
  </si>
  <si>
    <t>24. melléklet</t>
  </si>
  <si>
    <t xml:space="preserve">VÁTERV-hez kapcsolódó </t>
  </si>
  <si>
    <t>1. melléklet</t>
  </si>
  <si>
    <t>4. melléklet</t>
  </si>
  <si>
    <t>9. melléklet</t>
  </si>
  <si>
    <t>26. melléklet</t>
  </si>
  <si>
    <t>2. oldal</t>
  </si>
  <si>
    <t>3. oldal</t>
  </si>
  <si>
    <t>4. oldal</t>
  </si>
  <si>
    <t>5. oldal</t>
  </si>
  <si>
    <t>6. oldal</t>
  </si>
  <si>
    <t>7. oldal</t>
  </si>
  <si>
    <t>8. oldal</t>
  </si>
  <si>
    <t>9. oldal</t>
  </si>
  <si>
    <t>11. oldal</t>
  </si>
  <si>
    <t>12. oldal</t>
  </si>
  <si>
    <t>17. oldal</t>
  </si>
  <si>
    <t>18. oldal</t>
  </si>
  <si>
    <t>19. oldal</t>
  </si>
  <si>
    <t>20. oldal</t>
  </si>
  <si>
    <t>21. oldal</t>
  </si>
  <si>
    <t>22. oldal</t>
  </si>
  <si>
    <t>23. oldal</t>
  </si>
  <si>
    <t>25. oldal</t>
  </si>
  <si>
    <t>26. oldal</t>
  </si>
  <si>
    <t>Bike and Boat 2</t>
  </si>
  <si>
    <t>Visszatérítendő fejlesztési célú támogatás MTE Egylet</t>
  </si>
  <si>
    <t>Fajlagos összeg 2023. évben T/152 törvényjavaslat alapján</t>
  </si>
  <si>
    <t>26 000 Ft/hektár</t>
  </si>
  <si>
    <t xml:space="preserve">2800 Ft/fő </t>
  </si>
  <si>
    <t>2 550 Ft/fő</t>
  </si>
  <si>
    <t>5 262 900 Ft/számított létszám a pedagógusok átlagbér támogatása a pedagógus szakképzettséggel nem rendelkező segítők pedig 3.878.000 Ft/számított létszám, pedagógus szakképzettséggel rendelkező segítők 5.262.900 Ft/számított létszám</t>
  </si>
  <si>
    <t>130 000 Ft/fő/év a működési támogatás</t>
  </si>
  <si>
    <t>Pedagógus II. és alapfokozatú támogatása 467 690 Ft/fő, mesterpedagógus 1.743.970 Ft/fő, Pedagógus II. pedagógus képzettséggel rendelkező segítők támogatása 428.720 Ft/fő,</t>
  </si>
  <si>
    <t>Diabétesz ellátási pótlék</t>
  </si>
  <si>
    <t>2022. év eredeti előriányzatában nem szerepelt, év közben igényelhetővé vált szintén 480 000 Ft össezgben</t>
  </si>
  <si>
    <t>2 700 300 Ft/számított létszám</t>
  </si>
  <si>
    <t>Gyermekétkeztetés üzemeltetési támogatása*</t>
  </si>
  <si>
    <t xml:space="preserve">üzemeltetési támogatás központilag, mely várhatóan emelkedik a növekvő üzemeltetési költség miatt </t>
  </si>
  <si>
    <t>Bölcsőde támogatása (bértámogatás és üzemeltetési támogatás)</t>
  </si>
  <si>
    <t>felsőfokű végzettség esetén 6.990.700 Ft/számított létszám, bölcsődei dajkák és középfokú végzettség esetén 5 453 000 Ft/szamított létszám, üzemeltetési támogatás központilag kerül meghatározásra</t>
  </si>
  <si>
    <t>5 128 940 Ft/számított létszám a szolgálat normatívája, 4.843.970 Ft/számított létszám a központ</t>
  </si>
  <si>
    <t>81 190 Ft/fő</t>
  </si>
  <si>
    <t>602 080 Ft/fő</t>
  </si>
  <si>
    <t>423 940 Ft/fő</t>
  </si>
  <si>
    <t>Fogyatékos 963 220 Ft/fő, demens 912 400 Ft/fő foglalkoztatási támogatásban részesülő 307 140 Ft/fő</t>
  </si>
  <si>
    <t>352 490 Ft/fő</t>
  </si>
  <si>
    <t>774 030 Ft/férőhely</t>
  </si>
  <si>
    <t>5 439 900 Ft/számított létszám</t>
  </si>
  <si>
    <t>intézmény üzemeltetési támogatás*</t>
  </si>
  <si>
    <t>központilag határozzák meg</t>
  </si>
  <si>
    <t>kiegészítő támogatás, központi keretösszeg nem változott</t>
  </si>
  <si>
    <t>2 213 Ft/fő, de legalább 2 270 000 Ft</t>
  </si>
  <si>
    <t>kiegészítő támogatás, központi keretösszeg nőtt remélhetőleg a támogatás növekedni fog</t>
  </si>
  <si>
    <t>Menekültek, befogadottak, oltalmazottak ideiglenes ellátása és támogatása</t>
  </si>
  <si>
    <t>107070</t>
  </si>
  <si>
    <t>ok</t>
  </si>
  <si>
    <t>Elektromos töltőállomás fizetőssé tétele (Jedlik programhoz kapcsolódóan)</t>
  </si>
  <si>
    <t>Bike and Boat -2</t>
  </si>
  <si>
    <t>Tárgyi eszközök beszerzése, titkárság, polgármesteri iroda, alpolgármesteri iroda</t>
  </si>
  <si>
    <t>016080</t>
  </si>
  <si>
    <t>Intézményekhez kapcsolódó beruházások, felújítások</t>
  </si>
  <si>
    <t>Utcabútorok cseréje, játszóterekhez kapcsolódó beruházások, játszótéri fejlesztések</t>
  </si>
  <si>
    <t>"Eseti támogatási keret"-re elkülönített forrás</t>
  </si>
  <si>
    <t xml:space="preserve">Önkormányzati döntés alapján ingyenes bölcsődei ellátottak </t>
  </si>
  <si>
    <t xml:space="preserve">Önkormányzati döntés alapján ingyenes óvodai ellátottak </t>
  </si>
  <si>
    <t>10000 lakos feletti önkormányzatok energiaáremelkedés miatti támogatása</t>
  </si>
  <si>
    <t>működési Rovatszám: B812, B8131, B814, B817</t>
  </si>
  <si>
    <t>B817</t>
  </si>
  <si>
    <t>Rövid lejáratú lekötés megszüntetése</t>
  </si>
  <si>
    <t>Állampapír beváltása, rövid lejáratú bankbetét megszüntetése</t>
  </si>
  <si>
    <t>Rövid lejáratú betét megszüntetése</t>
  </si>
  <si>
    <t>Mosonmagyaróvári Vízisport Egyesület szakosztályainak támogatása</t>
  </si>
  <si>
    <t xml:space="preserve">"A ZENEOKTATÁSÉRT" Alapítvány támogatása  </t>
  </si>
  <si>
    <t xml:space="preserve">FUTURA-hoz kapcs. projektmenedzsment szolgáltatás </t>
  </si>
  <si>
    <t>9 555 860 Ft / év</t>
  </si>
  <si>
    <t>27 800 Ft/hó</t>
  </si>
  <si>
    <t>ZNET Telekom Zrt.</t>
  </si>
  <si>
    <t>463 550 Ft/hó</t>
  </si>
  <si>
    <t>1 883 664 Ft / év</t>
  </si>
  <si>
    <t>2 290 296 Ft / év</t>
  </si>
  <si>
    <t>1 048 056 Ft / év</t>
  </si>
  <si>
    <t>Fő u. 7. Társasház</t>
  </si>
  <si>
    <t>védett építészeti érték tetőcsere, homlokzat és kapu felújítása</t>
  </si>
  <si>
    <t>védett építészeti érték homlokzatfelújítása</t>
  </si>
  <si>
    <t>330 397 Ft / év</t>
  </si>
  <si>
    <t>Ézsiás Mihály</t>
  </si>
  <si>
    <t>1 200 000 Ft / év</t>
  </si>
  <si>
    <t>275 888 Ft / év</t>
  </si>
  <si>
    <t>távfelügyeleti díj - Kaiser, Mosonyi M. u. 35-37.</t>
  </si>
  <si>
    <t>25. melléklet</t>
  </si>
  <si>
    <t>Rövid lejáratú betét visszaváltása</t>
  </si>
  <si>
    <t>2024. év</t>
  </si>
  <si>
    <t>ell.</t>
  </si>
  <si>
    <t>Futura Szolgáltató Központ - vállalkozási tevékenység</t>
  </si>
  <si>
    <t>Futura Szolgáltató Központ összesen</t>
  </si>
  <si>
    <t xml:space="preserve">Önkormányzati vagyonnal való gazdálkodás 013350 </t>
  </si>
  <si>
    <t>Utcai szociális munka, jelzőrendszer, fejlesztő támogatás, Bursa Cofog: 107030, 107060</t>
  </si>
  <si>
    <t>Múzeum, kulturális bértámogatásra és bölcsődei ágazati pótlékra, óvodai nevelési pótlékra tervezett forrás 018030</t>
  </si>
  <si>
    <t>'FVS, Sportpálya</t>
  </si>
  <si>
    <t>FVS, Bolyai Iskola, étkező létesítése</t>
  </si>
  <si>
    <t>'FVS, Bölcsőde és óvoda</t>
  </si>
  <si>
    <t>FVS Mosoni piac és vásárcsarnok</t>
  </si>
  <si>
    <t>'SKHU-Kisprojekt Alap</t>
  </si>
  <si>
    <t>018030 Intézmény finanszírozási műveletek</t>
  </si>
  <si>
    <t>Mosonmagyaróvári Egyesített Bölcsőde eredeti</t>
  </si>
  <si>
    <t>Mosonmagyaróvári Polgármesteri Hivatal működési bevételei  Ft-ban</t>
  </si>
  <si>
    <t>Óvodák összesen eredeti:</t>
  </si>
  <si>
    <t>Kiemelt önk. Rendezvények, Nemzetközi kapcsolatok</t>
  </si>
  <si>
    <t>Választás 016010</t>
  </si>
  <si>
    <t>Vízisport edzőközpont építése</t>
  </si>
  <si>
    <t>Movinnov bonyolításában zajló fejlesztések</t>
  </si>
  <si>
    <t>FVS, Sportpálya</t>
  </si>
  <si>
    <t>FVS óvoda, bölcsőde</t>
  </si>
  <si>
    <t>Mosoni piac és vásárcsarnok</t>
  </si>
  <si>
    <t>Zöld infrastruktúra (Rudolf Liget) pályázat</t>
  </si>
  <si>
    <t>SKHU</t>
  </si>
  <si>
    <t>SKHU-Kisprojekt Alap</t>
  </si>
  <si>
    <t>Polgári védelmi stratégiák</t>
  </si>
  <si>
    <t>031060</t>
  </si>
  <si>
    <r>
      <rPr>
        <b/>
        <sz val="10"/>
        <rFont val="Arial"/>
        <family val="2"/>
        <charset val="238"/>
      </rPr>
      <t xml:space="preserve">Polgármesteri Hivatal </t>
    </r>
    <r>
      <rPr>
        <sz val="10"/>
        <rFont val="Arial"/>
        <family val="2"/>
        <charset val="238"/>
      </rPr>
      <t>(ügyviteli eszközök, licence vásárlások,egyéb berendezések, eszközök cseréje, honlap, térinformatika, beléptető rendszer)</t>
    </r>
  </si>
  <si>
    <t>Állami hozzájárulások (adatok Ft-ban)</t>
  </si>
  <si>
    <t>Lakosságszám (adatok főben)</t>
  </si>
  <si>
    <t>közvilágítás üzemeltetése</t>
  </si>
  <si>
    <t xml:space="preserve">köztemető fenntartás         </t>
  </si>
  <si>
    <t>Óvodapedagógusok és nevelők átlagbét támogatása</t>
  </si>
  <si>
    <t>Család és gyermekjóléti szolgálat támogatása valamint család és gyermekjóléti központ</t>
  </si>
  <si>
    <t>Éjjeli menedékhely</t>
  </si>
  <si>
    <t>Mosonmagyaróvári Kézilabda Club Kft /Mosonmagyaróvári Kézilabda Club Sportegyesület</t>
  </si>
  <si>
    <t>Fejes Józsefné Zenei Alapítvány</t>
  </si>
  <si>
    <t>Háziorvosok, gyermekorvosok, fogorvosok működési támogatása (120e Ft/fő ill. ha nem mi béreljük a rendelőt 600 e Ft/fő)</t>
  </si>
  <si>
    <t>Polgármesteri/alpolgármesteri keret és áthúzódó polgármesteri keret</t>
  </si>
  <si>
    <t>Mosonmagyaróvári Egyesített Bölcsődék Intézménye</t>
  </si>
  <si>
    <t>3 1 1</t>
  </si>
  <si>
    <t>Futura Szolgáltató Központ</t>
  </si>
  <si>
    <t>3 1 1 1</t>
  </si>
  <si>
    <t>3 1 1 2</t>
  </si>
  <si>
    <t>Gazdasági iroda</t>
  </si>
  <si>
    <t>3 1 1 3</t>
  </si>
  <si>
    <t>Központi konyha</t>
  </si>
  <si>
    <t>3 1 1 4</t>
  </si>
  <si>
    <t>3 1 1 5</t>
  </si>
  <si>
    <t>Futura Szolgáltató Központ vállalkozási tevékenység</t>
  </si>
  <si>
    <t>Adott, kapott támogatás</t>
  </si>
  <si>
    <t>6 1 1</t>
  </si>
  <si>
    <t>Adott kapott támogatás</t>
  </si>
  <si>
    <t>Költségvetési engedélyezett létszámhely Javaslat 2024. év</t>
  </si>
  <si>
    <t>2024. év Eredeti előirányzat</t>
  </si>
  <si>
    <t>Egyesített Bölcsőde</t>
  </si>
  <si>
    <t>Bölcsődei gyermekétkeztetés támogatása (100% támogatás126 Fő, államilag kedvezményezett a 197 főből)</t>
  </si>
  <si>
    <t>Óvodai gyermekétkeztetés támogatása (100% támogatás 447 fő a 630 főből)</t>
  </si>
  <si>
    <t>Iskolai tanulók étkeztetés támogatása (100% támogatás 97 fő)</t>
  </si>
  <si>
    <t>Iskolai tanulók étkeztetési támogatása (50% támogatás 368 fő)</t>
  </si>
  <si>
    <t>15. melléklet</t>
  </si>
  <si>
    <t>SPCP Közbeszerzési Tanácsadó Kft.</t>
  </si>
  <si>
    <t>132 210 Ft / év</t>
  </si>
  <si>
    <t>89 286 Ft / év</t>
  </si>
  <si>
    <t>3 838 956 Ft / év</t>
  </si>
  <si>
    <t>14 931 Ft/hó</t>
  </si>
  <si>
    <t>Naperőműpark üzemeltetése, téradatbázis</t>
  </si>
  <si>
    <t>651 510 Ft/év</t>
  </si>
  <si>
    <t>178 188  Ft / év</t>
  </si>
  <si>
    <t xml:space="preserve"> telefon, wifi (Magyar u. 9., Szent István király út 12.)</t>
  </si>
  <si>
    <t>480 060 Ft / év</t>
  </si>
  <si>
    <t>Qualisoft Kft.</t>
  </si>
  <si>
    <t>376 428 Ft / év</t>
  </si>
  <si>
    <t>2 286 000 Ft / év</t>
  </si>
  <si>
    <t>töltőanyagok beszerzése, kiszállítása</t>
  </si>
  <si>
    <t>461 010 Ft/év</t>
  </si>
  <si>
    <t>403 860 Ft / év</t>
  </si>
  <si>
    <t>175 260 Ft / év</t>
  </si>
  <si>
    <t>Kiss János Mihály</t>
  </si>
  <si>
    <t>Signal Iduna Biztosító Zrt</t>
  </si>
  <si>
    <t>243 655 Ft / év</t>
  </si>
  <si>
    <t>Nissan Qashqai casco biztosítás (AEGT-820)</t>
  </si>
  <si>
    <t>K&amp;H Biztosító Zrt.</t>
  </si>
  <si>
    <t>62 164 Ft / év</t>
  </si>
  <si>
    <t>Nissan Qashqai kötelező  biztosítás (AEGT-820)</t>
  </si>
  <si>
    <t>166 370 Ft / év</t>
  </si>
  <si>
    <t>370 332 Ft / év</t>
  </si>
  <si>
    <t>2023.09.31</t>
  </si>
  <si>
    <t>70 714 Ft / hó</t>
  </si>
  <si>
    <t>digitálisan rögzített önkormányzati rendeletek Jogtár és NetJogtár Önkormányzati rendelettár felületén történő hatályosítása és publikálása</t>
  </si>
  <si>
    <t>32 208 Ft / év</t>
  </si>
  <si>
    <t>136 908 Ft / év</t>
  </si>
  <si>
    <t>Alfa Vienna Insurance Group Biztosító Zrt.</t>
  </si>
  <si>
    <t>53 136  Ft / év</t>
  </si>
  <si>
    <t>WEST END-INVEST Kft.</t>
  </si>
  <si>
    <t>339 090 Ft / év</t>
  </si>
  <si>
    <t>117 380 Ft / év</t>
  </si>
  <si>
    <t>84 912 Ft / év</t>
  </si>
  <si>
    <t>55 260 Ft / év</t>
  </si>
  <si>
    <t>185 328 Ft / év</t>
  </si>
  <si>
    <t>4 156 800 Ft / év</t>
  </si>
  <si>
    <t>MosonTelecom System Kft.</t>
  </si>
  <si>
    <t>63 360 Ft / év</t>
  </si>
  <si>
    <t>telefonköltség, internetszolgáltatás - Mosonyi M. u. 37.</t>
  </si>
  <si>
    <t>2021.03.19 és                   2023. 11.28.</t>
  </si>
  <si>
    <t>3 581 400 Ft/év                5 334 000 Ft/év</t>
  </si>
  <si>
    <t>Önkormányzatnál maradó</t>
  </si>
  <si>
    <t>2023. december 31-én projekt számla záró egyenlege</t>
  </si>
  <si>
    <t>Jedlik Ányos projekt</t>
  </si>
  <si>
    <t>GZT-T-Ö-2016-0032</t>
  </si>
  <si>
    <t>Fenntartási időszak zajlik, havonta szükséges fizetnünk (2025-ben is)</t>
  </si>
  <si>
    <t>2024-2025</t>
  </si>
  <si>
    <t>nem releváns</t>
  </si>
  <si>
    <t>A Képviselő-testület 2018. VI.28. határozata alapján havi 10e Ft+áfa</t>
  </si>
  <si>
    <t>Bike&amp;Boat 1.</t>
  </si>
  <si>
    <t>SKHU/1601/1.1/014</t>
  </si>
  <si>
    <t>minden évben</t>
  </si>
  <si>
    <t>Észak-dunántúli vízügyi igazgatóság 0303, 0302/1 hrsz ingatlan 113.400 Ft+ áfa /év</t>
  </si>
  <si>
    <t>FVS</t>
  </si>
  <si>
    <t>TOP-Plusz-1.3.1</t>
  </si>
  <si>
    <t>Megvalósítási időszak zajlik</t>
  </si>
  <si>
    <t>2023-2027</t>
  </si>
  <si>
    <t xml:space="preserve">FVS, TVP, Zöldfelület, Vízkár, HEP, Monitoring rendszer, környezetvédelmi program költségei.
Pályázatban összesen 50.539.352 forint + 4.658.427 forint tartalék keret, de 2024-ben ebből csak bruttó 25.400.000 forint várható. A kapcsolódó bevételt a 2023-ban felénk átutalt előleg képezi.
Mindösszesen bruttó 80M forint a teljes pályázható költség. (Személyi+Dologi+Tartalék) Mivel ez alacsonyabb, így a különbözet (br. 11.674.207,-) elvileg rátehető a "Fenntartható városfejlesztés" sorra, amelyet ott szerepeltetünk. </t>
  </si>
  <si>
    <t>FVS (Szociális célú városrehabilitáció)</t>
  </si>
  <si>
    <t>TOP-Plusz 3.2.1</t>
  </si>
  <si>
    <t>Összesen br. 158.294.448,- forint várható, a pályázat benyújtását megelőzően Kt előterjesztés készül..</t>
  </si>
  <si>
    <t>Mindösszesen bruttó 158.294.448,- forint tervezett ide, kettő naptári év rendezvényeinek megvalósítása a cél. Várhatóan a pályázatírás és a bírálat is 2024-ben történik - így ténylegesen a töredékét (vagy semennyit sem) tudjuk az összegnek lehívni és elkölteni ebben a költségvetési évben.</t>
  </si>
  <si>
    <t>Bike&amp;Boat 2.</t>
  </si>
  <si>
    <t xml:space="preserve">HUSK- …..
nem releváns, a pályázati felhívás megjelenéséig.
</t>
  </si>
  <si>
    <t>pályázati kiírásra várunk, 
benyújtás előtt áll a projekt.
10%-os önerőt vállalni kell 2024-ben</t>
  </si>
  <si>
    <t>2024-2027 (?) több éves áthúzódó kötelezettségvállalás lesz</t>
  </si>
  <si>
    <t>Mindösszesen bruttó 2.000.000€ tervezett ide, de várhatóan ebből töredéknyi bevétel/kiadás mutatkozik csak. Az önerő rendelkezésre állását várhatóan biztosítani kell legalább nyilatkozattal, amely összege: 100.000€. 2023-ban 415 forintos Euro-árfolyamon vállaltuk az önerő biztosítását, ezért ennyi a rendelkezésre álló összeg. Bevételi és kiadási oldalon egyaránt szerepeltettük ezt az összeget.
Finanszírozás várhatóan: 85% ERFA, 10% Kormányzati társfinanszírozás, 5% önerő.</t>
  </si>
  <si>
    <t>FVS (Sportpálya)</t>
  </si>
  <si>
    <t>TOP-Plusz-1.3.2.</t>
  </si>
  <si>
    <t>Benyújtás előtt</t>
  </si>
  <si>
    <t>2024-2025 (?)</t>
  </si>
  <si>
    <t>Várhatóan a pályázatírás és a bírálat is 2024-ben történik - így ténylegesen a töredékét (vagy semennyit sem) tudjuk az összegnek lehívni és elkölteni ebben a költségvetési évben.</t>
  </si>
  <si>
    <t>FVS  (Gyáév-csarnok )</t>
  </si>
  <si>
    <t>2024-2026 (?)</t>
  </si>
  <si>
    <t>FVS  (Bolyai Iskola)</t>
  </si>
  <si>
    <t>TOP-Plusz-3.4.1.</t>
  </si>
  <si>
    <t>FVS (Bölcsőde és óvoda)</t>
  </si>
  <si>
    <t>FVS (Mosoni piac és vásárcsarnok)</t>
  </si>
  <si>
    <t>TOP-Plusz-6.2.1</t>
  </si>
  <si>
    <t>2024-2027 (?)</t>
  </si>
  <si>
    <t>HUSK-2302</t>
  </si>
  <si>
    <t>Benyújtott pályázat, bírálat 2024. tavaszán várható</t>
  </si>
  <si>
    <t>2024-ben bírálat, Támogatási szerződéskötés, Előkészítő tevékenységek beszerzése történik majd, így bevételi és kiadási oldalon egyaránt szerepeltetünk egy kisebb összeget.
Mindösszesen 99.815.577,- forintos költségel tervezünk, amelyből 85% ERFA támogatás, 10% kormányzati társfinanszírozás, 5% önerő</t>
  </si>
  <si>
    <t>Kisprojekt Alap pályázat</t>
  </si>
  <si>
    <t>HUSK-SPF/2301</t>
  </si>
  <si>
    <t>2023. decemberi ülésen hagyja jóvá a Testület a pályázat benyújtását, 25% önerő mellett várjuk a támogatást pozitív döntés esetén.</t>
  </si>
  <si>
    <t>'Vízisport edzőközpont építése</t>
  </si>
  <si>
    <t>saját forrás</t>
  </si>
  <si>
    <t>saját forrásból megvalósítandó</t>
  </si>
  <si>
    <t>2024. évi költségvetés 14. melléklete alapján</t>
  </si>
  <si>
    <t>- ezen belül: Tábor</t>
  </si>
  <si>
    <t>- ezen belül: Gazdasági szervezet</t>
  </si>
  <si>
    <t>- ezen belül: Központi konyha</t>
  </si>
  <si>
    <t>- ezen belül: Futura Szolgáltató</t>
  </si>
  <si>
    <t>Közvetett támogatások - 2024. év</t>
  </si>
  <si>
    <t>Finanszírozási terv 2024. év</t>
  </si>
  <si>
    <t xml:space="preserve">A működési és fejlesztési célú bevételek és kiadások 2024-2027. évi </t>
  </si>
  <si>
    <t xml:space="preserve">Hitel-/kölcsön törlesztések  és projektvizsgálati díjak (Ft-ban)       2024. év    </t>
  </si>
  <si>
    <t>2025-2029.év</t>
  </si>
  <si>
    <t>Mosonmagyaróvár Önkormányzata hitelállománnyal nem rendelkezik 2024. évtől</t>
  </si>
  <si>
    <t>Az Önkormányzat 2024. évben  az eredeti előirányzatok között nem tervez újabb adósságot keletkezető ügyletet.</t>
  </si>
  <si>
    <t>Mosonmagyaróvári Rendőkapitányság támogatása</t>
  </si>
  <si>
    <t>Rövid lejáratú betét lekötés</t>
  </si>
  <si>
    <t>Visszatérítendő fejlesztési célú támogatások megtérítése</t>
  </si>
  <si>
    <t>MINDÖSSZESEN</t>
  </si>
  <si>
    <t>MINDÖSSZESEN:</t>
  </si>
  <si>
    <t>ebből önként vállalt feladat</t>
  </si>
  <si>
    <t>jó</t>
  </si>
  <si>
    <t>60.</t>
  </si>
  <si>
    <t>ÖHO/610-5/2022. szerződésmódosítás alapján</t>
  </si>
  <si>
    <t>20 000 000 Ft/év</t>
  </si>
  <si>
    <t>IV. VinÓvár rendezvény támogatására (Három Tenger Együttműködés Egyesület)</t>
  </si>
  <si>
    <t>Part Rendezvényház bérletéhez kapcsolódó támogatás városi intézmények vonatkozásában</t>
  </si>
  <si>
    <t>Az Áht. 23. § (2) bekezdése alapján a Gst. 8.§ (2) bekezdése szerinti adósságot keletkeztető ügyletek és</t>
  </si>
  <si>
    <t xml:space="preserve">az adósságot keletkeztető ügyletek futamidejéig </t>
  </si>
  <si>
    <t xml:space="preserve">az önkormányzati garanciákból és önkormányzati kezességekből fennálló kötelezettségek </t>
  </si>
  <si>
    <t>THEATRUM AD FLEXUM EGYESÜLET támogatása</t>
  </si>
  <si>
    <t>Movaréna Kft - UFM aréna  költségeinek támogatása, virilista rendezvény megszervezése</t>
  </si>
  <si>
    <t>Rákóczi Szövetség  "Magyar Iskolaválasztási program" támogatása</t>
  </si>
  <si>
    <t>Mosonmagyaróvári Városvédő Egyesület - Védelem alatt álló műemlékekről szóló kiadvány díszpéldányok készítésének támogatása</t>
  </si>
  <si>
    <t>maradvány  Rovatrend B8131, Felhalmozási célú intézményfin. B816</t>
  </si>
  <si>
    <t>Hansági Múzeum felhalmozási kiadások tervének finanszírozásához, B816</t>
  </si>
  <si>
    <t>Futura Szolgáltató Központ  felhalmozási kiadások tervének finanszírozásához, B816</t>
  </si>
  <si>
    <t>Mosonmagyaróvári Polgármesteri Hivatal  felhalmozási kiadások tervének finanszírozásához, B816</t>
  </si>
  <si>
    <t>intézményfinanszírozás</t>
  </si>
  <si>
    <t>Lehetőség Családoknak 2005 Alapítvány - Tanoda támogatás</t>
  </si>
  <si>
    <t xml:space="preserve"> Magyarországi Baptista Egyház Pápai Sarokkő Baptista Gyülekezete (Fenntartó),
Lehetőség Családoknak 2005 Alapítvány (Működtető) 
Családok Átmeneti Otthona támogatás</t>
  </si>
  <si>
    <t>Háziorvosok, gyermekorvosok, fogorvosok "rezsi" támogatása, 2023-ban távhő támogatás</t>
  </si>
  <si>
    <t>Mosonmagyaróvári Önkormányzati Rendészet felhalmozási kiadások tervének finanszírozásához, B816</t>
  </si>
  <si>
    <t>(MEG)HALLGATOM MENTÁLHIGIÉNÉS EGYESÜLET - Lelki segélyszolgálat működtetésére</t>
  </si>
  <si>
    <t xml:space="preserve">A városi kultúra, sport és egyéb önszerveződő közösségek támogatása, egyéb kiemelt támogatások valamint egyéb kisebb támogatások                                           </t>
  </si>
  <si>
    <t>Eredeti előirányzat</t>
  </si>
  <si>
    <t>Módosított</t>
  </si>
  <si>
    <t>Módosított előirányzatból</t>
  </si>
  <si>
    <t>Módosított előirányzat</t>
  </si>
  <si>
    <t>módosított</t>
  </si>
  <si>
    <t>Mosonmagyaróvári Lurkóvár Óvoda             eredeti</t>
  </si>
  <si>
    <t>Mosonmagyaróvári Őzikés Óvoda              eredeti</t>
  </si>
  <si>
    <t>Ostermayer Óvoda eredeti</t>
  </si>
  <si>
    <t>Mosonmagyaróvári Bóbita Óvoda              eredeti</t>
  </si>
  <si>
    <t>Mosonmagyaróvári Kékcinke Óvoda              eredeti</t>
  </si>
  <si>
    <t>Mosonmagyaróvári Vackor Óvoda             eredeti</t>
  </si>
  <si>
    <t>Óvodák módosított összesen:</t>
  </si>
  <si>
    <t>Futura Szolgáltató Központ Tábor              eredeti</t>
  </si>
  <si>
    <t>Futura Szolgáltató Központ Gazdasági Iroda  eredeti</t>
  </si>
  <si>
    <t>Futura Szolgáltató Központ  - Központi Konyha    eredeti</t>
  </si>
  <si>
    <t>Futura Szolgáltató Központ - Rendezvényház+Futura                             eredeti</t>
  </si>
  <si>
    <t>Futura Szolgáltató Központ összesen        eredeti</t>
  </si>
  <si>
    <t>Futura Szolgáltató Központ összesen        módosított</t>
  </si>
  <si>
    <t>Intézmények módosított összesen:</t>
  </si>
  <si>
    <t>Hansági Múzeum '018030 (eszközpótlás, műtárgy vásárlás,honlap fejlesztés, tervezése kivitelezése)                                 eredeti</t>
  </si>
  <si>
    <t>Mosonmagyaróvári Őzikés Óvoda</t>
  </si>
  <si>
    <t>Mosonmagyaróvári Lurkóvár Óvoda</t>
  </si>
  <si>
    <t xml:space="preserve">Majoroki Óvoda </t>
  </si>
  <si>
    <t>Mosonmagyaróvári Bóbita Óvoda</t>
  </si>
  <si>
    <t>Mosonmagyaróvári Kékcinke Óvoda</t>
  </si>
  <si>
    <t>Mosonmagyaróvári Vackor Óvoda</t>
  </si>
  <si>
    <t>Óvodák összesen módosított:</t>
  </si>
  <si>
    <t>Mosonmagyaróvár Egyesített Bölcsődék Intézménye</t>
  </si>
  <si>
    <t xml:space="preserve">Hansági Múzeum </t>
  </si>
  <si>
    <t xml:space="preserve">Futura Szolgáltató Központ Tábor </t>
  </si>
  <si>
    <t xml:space="preserve">Futura Szolgáltató Központ Gazdasági Iroda </t>
  </si>
  <si>
    <t xml:space="preserve">Futura Szolgáltató Központ  - Központi Konyha </t>
  </si>
  <si>
    <t xml:space="preserve">Futura Szolgáltató Központ - Rendezvényház+Futura </t>
  </si>
  <si>
    <t xml:space="preserve">Futura Szolgáltató Központ - vállalkozási tevékenység </t>
  </si>
  <si>
    <t xml:space="preserve">Futura Szolgáltató Központ összesen </t>
  </si>
  <si>
    <t>Ebből kötelező</t>
  </si>
  <si>
    <t>Ebből önként vállalt</t>
  </si>
  <si>
    <t>Önk. Hivatalok jogalkotó és igazgatási tevékenysége 011130</t>
  </si>
  <si>
    <t>016080, 016040</t>
  </si>
  <si>
    <t xml:space="preserve">Zöldterület kezelés </t>
  </si>
  <si>
    <t>011140</t>
  </si>
  <si>
    <t>018020, 018010</t>
  </si>
  <si>
    <t>Intézményfinanszírozás</t>
  </si>
  <si>
    <t>Oktatást kieg.tev.</t>
  </si>
  <si>
    <t>098010</t>
  </si>
  <si>
    <t>Települési EÜ felad.</t>
  </si>
  <si>
    <t>041233</t>
  </si>
  <si>
    <t>Civil szervezetek támogatása</t>
  </si>
  <si>
    <t>084031, '084032</t>
  </si>
  <si>
    <t>107060 (Szociális fogl.)</t>
  </si>
  <si>
    <t>084040</t>
  </si>
  <si>
    <t>047310</t>
  </si>
  <si>
    <t>Közösségi kult. Értékekről való gondoskodás 082092</t>
  </si>
  <si>
    <t>081041</t>
  </si>
  <si>
    <t xml:space="preserve"> Támogatási célú finanszírozási műveletek 018030</t>
  </si>
  <si>
    <t>Civil szervezetek működésének támogatása Cofog 084031, 084032</t>
  </si>
  <si>
    <t>Forgatási és befeketetési célú finanszírozási műveletek 900060</t>
  </si>
  <si>
    <t>Közfoglalkoztatás 041233</t>
  </si>
  <si>
    <t>vált</t>
  </si>
  <si>
    <t>eredeti önk.</t>
  </si>
  <si>
    <t>2024. évi eredeti előirányzat</t>
  </si>
  <si>
    <t>2024.06.30 módosított előirányzat</t>
  </si>
  <si>
    <t>2024.06.30 mód.bevétel</t>
  </si>
  <si>
    <t>Ostermayer Óvoda kisértékű tárgyi eszközök beszerzése</t>
  </si>
  <si>
    <t>Bóbita Óvoda kisértékű tárgyi eszközök beszerzése</t>
  </si>
  <si>
    <t>Vackor Óvoda kisértékű tárgyi eszközök beszerzése</t>
  </si>
  <si>
    <t>MEBI kisértékű tárgyi eszközök beszerzése</t>
  </si>
  <si>
    <t>Önk-i hivatalok igazgatási tev-e 011130, Int. finanszírozása 018030</t>
  </si>
  <si>
    <t>Rendészeti tevékenység 031030, 031060</t>
  </si>
  <si>
    <t>Ingatlan értékesítés    (nettó)</t>
  </si>
  <si>
    <t>int+önk+ph+rend.eredeti össz:</t>
  </si>
  <si>
    <t>mód. Önk.</t>
  </si>
  <si>
    <t>Állami támogatásból a  Kistérségi Egyesített Szociális Intézményt valamint a Család- és Gyermekjóléti Központot megillető rész</t>
  </si>
  <si>
    <t>Flesch Nonprofit Kft-t megillető rész</t>
  </si>
  <si>
    <t>31954 fő</t>
  </si>
  <si>
    <t>Eredeti előirányzat 2024.01.01</t>
  </si>
  <si>
    <t>Módosított előirányzat 2024.06.30</t>
  </si>
  <si>
    <t>2024. évi támogatások - eredeti előirányzat 2024.01.01</t>
  </si>
  <si>
    <t>2024. évi támogatások - módosított előirányzat 2024.06.30</t>
  </si>
  <si>
    <t>1.1.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</si>
  <si>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</si>
  <si>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</si>
  <si>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</si>
  <si>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</si>
  <si>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</si>
  <si>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</si>
  <si>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</si>
  <si>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</si>
  <si>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</si>
  <si>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</si>
  <si>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</si>
  <si>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</si>
  <si>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3.1.</t>
  </si>
  <si>
    <t>3.2.</t>
  </si>
  <si>
    <t>3.2.1.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</si>
  <si>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</si>
  <si>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</si>
  <si>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</si>
  <si>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</si>
  <si>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</si>
  <si>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</si>
  <si>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</si>
  <si>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</si>
  <si>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</si>
  <si>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</si>
  <si>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</si>
  <si>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</si>
  <si>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</si>
  <si>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</si>
  <si>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</si>
  <si>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</si>
  <si>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</si>
  <si>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</si>
  <si>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</si>
  <si>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</si>
  <si>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</si>
  <si>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</si>
  <si>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</si>
  <si>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</si>
  <si>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</si>
  <si>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</si>
  <si>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</si>
  <si>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</si>
  <si>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</si>
  <si>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</si>
  <si>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</si>
  <si>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</si>
  <si>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</si>
  <si>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</si>
  <si>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</si>
  <si>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2024. évi költségvetés módosítás mellékletei</t>
  </si>
  <si>
    <t>Mosonmagyaróvár Önkormányzata 2024. évi összevont módosított költségvetési mérlege</t>
  </si>
  <si>
    <t>Mosonmagyaróvár Város Önkormányzatának 2024. évi összevont módosított költségvetési mérlege</t>
  </si>
  <si>
    <t>Futura Szolgáltató Központ 018030 (eszköz pótlás) Központi konyha, Gazd. Iroda</t>
  </si>
  <si>
    <t>Futura Szolgáltató Központ 018030 (eszköz pótlás) Tábor, Futura</t>
  </si>
  <si>
    <t>1842/10 hrsz ingatlan megvásárlása</t>
  </si>
  <si>
    <t>önk+ph+rend er.össz</t>
  </si>
  <si>
    <t>önk+ph+rend mód.össz</t>
  </si>
  <si>
    <t>int+önk+ph+rend.mód össz:</t>
  </si>
  <si>
    <t>Ovikréta rendszer kialakítása az intézményekben</t>
  </si>
  <si>
    <t>Futura "A víz körforgása" projekt megvalósítása</t>
  </si>
  <si>
    <t>Praxis létesítésére visszatérítendő támogatás előirányzata a 43/2021. (XII.13.) önk. rendelet alapján, valamint vissza nem térítendő támogatás praxis hosszú távű betöltése érdekében</t>
  </si>
  <si>
    <t>önk+ph+rend eredeti</t>
  </si>
  <si>
    <t>önk+ph+rend mód</t>
  </si>
  <si>
    <t>int+önk+ph+rend er</t>
  </si>
  <si>
    <t>int+önk+ph+rend mód</t>
  </si>
  <si>
    <t>B816</t>
  </si>
  <si>
    <t>B6</t>
  </si>
  <si>
    <t>B8</t>
  </si>
  <si>
    <t>Szociális ágazati összevont pótlék - KESZI, CSK</t>
  </si>
  <si>
    <t>Szociális ágazati összevont pótlék - MEBI</t>
  </si>
  <si>
    <t>Egészségügyi kiegészítő pótlék - KESZI</t>
  </si>
  <si>
    <t>Települési önkormányzatok muzeális int-i feladatainak támogatása</t>
  </si>
  <si>
    <t>Települési önkormányzatok kulturális feladatainak bérjellegű támogatása és annak kiegészítése</t>
  </si>
  <si>
    <t>Elszámolásból származó bevételek</t>
  </si>
  <si>
    <t>Település önk. támogatása nyilvános könyvtári és közművelődési feladatokhoz</t>
  </si>
  <si>
    <t>Település önk. közművelődési támogatása</t>
  </si>
  <si>
    <t>2024. évi eredeti és módosított költségvetési előirányzat                              költségvetési szervenként  Ft-ban</t>
  </si>
  <si>
    <t>Kiemelt önk. Rendezvények, nemzetközi kapcsolatok</t>
  </si>
  <si>
    <t>Mosonmagyaróvár, 2024. szeptember 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</si>
</sst>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Ft&quot;;[Red]\-#,##0\ &quot;Ft&quot;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&quot;Ft&quot;"/>
    <numFmt numFmtId="165" formatCode="_-* #,##0\ _F_t_-;\-* #,##0\ _F_t_-;_-* &quot;-&quot;??\ _F_t_-;_-@_-"/>
    <numFmt numFmtId="166" formatCode="_-* #,##0\ &quot;Ft&quot;_-;\-* #,##0\ &quot;Ft&quot;_-;_-* &quot;-&quot;??\ &quot;Ft&quot;_-;_-@_-"/>
  </numFmts>
  <fonts count="7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i/>
      <sz val="8"/>
      <name val="Arial"/>
      <family val="2"/>
      <charset val="238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Times New Roman"/>
      <family val="1"/>
      <charset val="238"/>
    </font>
    <font>
      <sz val="11"/>
      <name val="Calibri"/>
      <family val="2"/>
      <charset val="238"/>
    </font>
    <font>
      <sz val="8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0" tint="-0.49998474074526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0"/>
      <color theme="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Arial"/>
      <charset val="238"/>
    </font>
    <font>
      <sz val="14"/>
      <name val="Times New Roman"/>
      <family val="1"/>
      <charset val="238"/>
    </font>
    <font>
      <sz val="14"/>
      <name val="Arial"/>
      <family val="2"/>
      <charset val="238"/>
    </font>
    <font>
      <sz val="14"/>
      <color rgb="FFFF0000"/>
      <name val="Arial"/>
      <family val="2"/>
      <charset val="238"/>
    </font>
    <font>
      <sz val="10"/>
      <color theme="0"/>
      <name val="Arial CE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FF4A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3">
    <xf numFmtId="0" fontId="0" fillId="0" borderId="0"/>
    <xf numFmtId="0" fontId="7" fillId="0" borderId="0"/>
    <xf numFmtId="0" fontId="7" fillId="0" borderId="0"/>
    <xf numFmtId="0" fontId="7" fillId="0" borderId="0"/>
    <xf numFmtId="0" fontId="15" fillId="0" borderId="0"/>
    <xf numFmtId="43" fontId="7" fillId="0" borderId="0" applyFont="0" applyFill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9" fillId="11" borderId="43" applyNumberFormat="0" applyAlignment="0" applyProtection="0"/>
    <xf numFmtId="0" fontId="30" fillId="0" borderId="0" applyNumberFormat="0" applyFill="0" applyBorder="0" applyAlignment="0" applyProtection="0"/>
    <xf numFmtId="0" fontId="31" fillId="0" borderId="44" applyNumberFormat="0" applyFill="0" applyAlignment="0" applyProtection="0"/>
    <xf numFmtId="0" fontId="32" fillId="0" borderId="45" applyNumberFormat="0" applyFill="0" applyAlignment="0" applyProtection="0"/>
    <xf numFmtId="0" fontId="33" fillId="0" borderId="46" applyNumberFormat="0" applyFill="0" applyAlignment="0" applyProtection="0"/>
    <xf numFmtId="0" fontId="33" fillId="0" borderId="0" applyNumberFormat="0" applyFill="0" applyBorder="0" applyAlignment="0" applyProtection="0"/>
    <xf numFmtId="0" fontId="34" fillId="20" borderId="47" applyNumberFormat="0" applyAlignment="0" applyProtection="0"/>
    <xf numFmtId="0" fontId="35" fillId="0" borderId="0" applyNumberFormat="0" applyFill="0" applyBorder="0" applyAlignment="0" applyProtection="0"/>
    <xf numFmtId="0" fontId="36" fillId="0" borderId="48" applyNumberFormat="0" applyFill="0" applyAlignment="0" applyProtection="0"/>
    <xf numFmtId="0" fontId="7" fillId="21" borderId="49" applyNumberFormat="0" applyFont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5" borderId="0" applyNumberFormat="0" applyBorder="0" applyAlignment="0" applyProtection="0"/>
    <xf numFmtId="0" fontId="37" fillId="8" borderId="0" applyNumberFormat="0" applyBorder="0" applyAlignment="0" applyProtection="0"/>
    <xf numFmtId="0" fontId="38" fillId="26" borderId="50" applyNumberFormat="0" applyAlignment="0" applyProtection="0"/>
    <xf numFmtId="0" fontId="39" fillId="0" borderId="0" applyNumberFormat="0" applyFill="0" applyBorder="0" applyAlignment="0" applyProtection="0"/>
    <xf numFmtId="0" fontId="40" fillId="0" borderId="51" applyNumberFormat="0" applyFill="0" applyAlignment="0" applyProtection="0"/>
    <xf numFmtId="0" fontId="41" fillId="7" borderId="0" applyNumberFormat="0" applyBorder="0" applyAlignment="0" applyProtection="0"/>
    <xf numFmtId="0" fontId="42" fillId="27" borderId="0" applyNumberFormat="0" applyBorder="0" applyAlignment="0" applyProtection="0"/>
    <xf numFmtId="0" fontId="43" fillId="26" borderId="43" applyNumberFormat="0" applyAlignment="0" applyProtection="0"/>
    <xf numFmtId="43" fontId="44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5" fillId="0" borderId="0"/>
    <xf numFmtId="43" fontId="7" fillId="0" borderId="0" applyFont="0" applyFill="0" applyBorder="0" applyAlignment="0" applyProtection="0"/>
    <xf numFmtId="0" fontId="47" fillId="0" borderId="0"/>
    <xf numFmtId="0" fontId="7" fillId="0" borderId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15" fillId="0" borderId="0"/>
    <xf numFmtId="9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7" fillId="0" borderId="0"/>
    <xf numFmtId="0" fontId="3" fillId="0" borderId="0"/>
    <xf numFmtId="0" fontId="51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2" fillId="0" borderId="0"/>
    <xf numFmtId="9" fontId="15" fillId="0" borderId="0" applyFont="0" applyFill="0" applyBorder="0" applyAlignment="0" applyProtection="0"/>
    <xf numFmtId="0" fontId="1" fillId="0" borderId="0"/>
    <xf numFmtId="0" fontId="7" fillId="0" borderId="0"/>
    <xf numFmtId="0" fontId="15" fillId="0" borderId="0"/>
    <xf numFmtId="0" fontId="65" fillId="36" borderId="0" applyNumberFormat="0" applyBorder="0" applyAlignment="0" applyProtection="0"/>
    <xf numFmtId="0" fontId="7" fillId="0" borderId="0"/>
    <xf numFmtId="0" fontId="7" fillId="0" borderId="0"/>
    <xf numFmtId="0" fontId="15" fillId="0" borderId="0"/>
    <xf numFmtId="44" fontId="71" fillId="0" borderId="0" applyFont="0" applyFill="0" applyBorder="0" applyAlignment="0" applyProtection="0"/>
  </cellStyleXfs>
  <cellXfs count="1203">
    <xf numFmtId="0" fontId="0" fillId="0" borderId="0" xfId="0"/>
    <xf numFmtId="0" fontId="0" fillId="0" borderId="0" xfId="0" applyFill="1"/>
    <xf numFmtId="0" fontId="6" fillId="0" borderId="0" xfId="0" applyFont="1" applyFill="1"/>
    <xf numFmtId="0" fontId="6" fillId="0" borderId="0" xfId="0" applyFont="1"/>
    <xf numFmtId="3" fontId="0" fillId="0" borderId="0" xfId="0" applyNumberFormat="1"/>
    <xf numFmtId="0" fontId="6" fillId="0" borderId="1" xfId="0" applyFont="1" applyBorder="1"/>
    <xf numFmtId="0" fontId="0" fillId="0" borderId="1" xfId="0" applyBorder="1"/>
    <xf numFmtId="0" fontId="7" fillId="0" borderId="2" xfId="0" applyFont="1" applyBorder="1"/>
    <xf numFmtId="0" fontId="7" fillId="0" borderId="0" xfId="0" applyFont="1"/>
    <xf numFmtId="3" fontId="7" fillId="0" borderId="2" xfId="0" applyNumberFormat="1" applyFont="1" applyBorder="1"/>
    <xf numFmtId="0" fontId="7" fillId="0" borderId="3" xfId="0" applyFont="1" applyBorder="1"/>
    <xf numFmtId="3" fontId="6" fillId="0" borderId="1" xfId="0" applyNumberFormat="1" applyFont="1" applyBorder="1"/>
    <xf numFmtId="3" fontId="6" fillId="0" borderId="1" xfId="0" applyNumberFormat="1" applyFont="1" applyFill="1" applyBorder="1"/>
    <xf numFmtId="0" fontId="7" fillId="0" borderId="4" xfId="0" applyFont="1" applyBorder="1"/>
    <xf numFmtId="0" fontId="7" fillId="0" borderId="5" xfId="0" applyFont="1" applyBorder="1"/>
    <xf numFmtId="3" fontId="7" fillId="0" borderId="5" xfId="0" applyNumberFormat="1" applyFont="1" applyBorder="1"/>
    <xf numFmtId="3" fontId="7" fillId="0" borderId="1" xfId="0" applyNumberFormat="1" applyFont="1" applyBorder="1"/>
    <xf numFmtId="0" fontId="7" fillId="0" borderId="2" xfId="0" applyFont="1" applyFill="1" applyBorder="1"/>
    <xf numFmtId="0" fontId="6" fillId="0" borderId="3" xfId="0" applyFont="1" applyBorder="1"/>
    <xf numFmtId="0" fontId="7" fillId="0" borderId="6" xfId="0" applyFont="1" applyBorder="1"/>
    <xf numFmtId="3" fontId="6" fillId="0" borderId="6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6" fillId="0" borderId="0" xfId="0" applyFont="1" applyFill="1" applyBorder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9" xfId="0" applyNumberFormat="1" applyFont="1" applyBorder="1" applyAlignment="1"/>
    <xf numFmtId="0" fontId="9" fillId="0" borderId="0" xfId="0" applyFont="1" applyBorder="1"/>
    <xf numFmtId="0" fontId="10" fillId="0" borderId="14" xfId="0" applyFont="1" applyBorder="1"/>
    <xf numFmtId="0" fontId="10" fillId="0" borderId="0" xfId="0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0" fillId="0" borderId="0" xfId="0" applyFont="1" applyFill="1" applyBorder="1"/>
    <xf numFmtId="3" fontId="10" fillId="0" borderId="0" xfId="0" applyNumberFormat="1" applyFont="1" applyFill="1" applyAlignment="1">
      <alignment horizontal="right"/>
    </xf>
    <xf numFmtId="0" fontId="8" fillId="0" borderId="1" xfId="0" applyFont="1" applyBorder="1" applyAlignment="1">
      <alignment horizontal="center"/>
    </xf>
    <xf numFmtId="3" fontId="6" fillId="0" borderId="18" xfId="0" applyNumberFormat="1" applyFont="1" applyFill="1" applyBorder="1"/>
    <xf numFmtId="3" fontId="6" fillId="0" borderId="18" xfId="0" applyNumberFormat="1" applyFont="1" applyBorder="1"/>
    <xf numFmtId="3" fontId="7" fillId="0" borderId="21" xfId="0" applyNumberFormat="1" applyFont="1" applyBorder="1"/>
    <xf numFmtId="0" fontId="7" fillId="0" borderId="2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16" xfId="0" applyFont="1" applyBorder="1"/>
    <xf numFmtId="0" fontId="10" fillId="0" borderId="10" xfId="0" applyFont="1" applyFill="1" applyBorder="1"/>
    <xf numFmtId="0" fontId="10" fillId="0" borderId="14" xfId="0" applyFont="1" applyFill="1" applyBorder="1"/>
    <xf numFmtId="0" fontId="6" fillId="0" borderId="0" xfId="1" applyFont="1" applyFill="1"/>
    <xf numFmtId="0" fontId="7" fillId="0" borderId="0" xfId="1"/>
    <xf numFmtId="0" fontId="14" fillId="0" borderId="0" xfId="1" applyFont="1" applyFill="1"/>
    <xf numFmtId="0" fontId="6" fillId="0" borderId="1" xfId="1" applyFont="1" applyBorder="1"/>
    <xf numFmtId="0" fontId="14" fillId="0" borderId="2" xfId="1" applyFont="1" applyFill="1" applyBorder="1"/>
    <xf numFmtId="0" fontId="14" fillId="0" borderId="2" xfId="1" applyFont="1" applyBorder="1"/>
    <xf numFmtId="0" fontId="14" fillId="0" borderId="4" xfId="1" applyFont="1" applyFill="1" applyBorder="1"/>
    <xf numFmtId="0" fontId="6" fillId="0" borderId="1" xfId="1" applyFont="1" applyFill="1" applyBorder="1"/>
    <xf numFmtId="0" fontId="6" fillId="0" borderId="0" xfId="1" applyFont="1" applyBorder="1" applyAlignment="1">
      <alignment horizontal="center"/>
    </xf>
    <xf numFmtId="0" fontId="6" fillId="0" borderId="0" xfId="1" applyFont="1" applyBorder="1"/>
    <xf numFmtId="0" fontId="7" fillId="0" borderId="25" xfId="0" applyFont="1" applyBorder="1"/>
    <xf numFmtId="0" fontId="9" fillId="0" borderId="0" xfId="0" applyFont="1" applyBorder="1" applyAlignment="1">
      <alignment horizontal="left"/>
    </xf>
    <xf numFmtId="3" fontId="9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0" fillId="0" borderId="15" xfId="0" applyFont="1" applyFill="1" applyBorder="1"/>
    <xf numFmtId="0" fontId="9" fillId="0" borderId="0" xfId="0" applyFont="1" applyFill="1" applyBorder="1"/>
    <xf numFmtId="0" fontId="7" fillId="0" borderId="0" xfId="0" applyFont="1" applyFill="1"/>
    <xf numFmtId="0" fontId="6" fillId="0" borderId="0" xfId="0" applyFont="1" applyAlignment="1">
      <alignment horizontal="center"/>
    </xf>
    <xf numFmtId="3" fontId="7" fillId="0" borderId="4" xfId="0" applyNumberFormat="1" applyFont="1" applyFill="1" applyBorder="1"/>
    <xf numFmtId="3" fontId="7" fillId="0" borderId="4" xfId="0" applyNumberFormat="1" applyFont="1" applyBorder="1"/>
    <xf numFmtId="3" fontId="7" fillId="0" borderId="3" xfId="0" applyNumberFormat="1" applyFont="1" applyBorder="1"/>
    <xf numFmtId="3" fontId="6" fillId="0" borderId="0" xfId="0" applyNumberFormat="1" applyFont="1"/>
    <xf numFmtId="0" fontId="7" fillId="0" borderId="0" xfId="0" applyFont="1" applyBorder="1"/>
    <xf numFmtId="0" fontId="6" fillId="0" borderId="1" xfId="0" applyFont="1" applyFill="1" applyBorder="1"/>
    <xf numFmtId="3" fontId="6" fillId="0" borderId="4" xfId="0" applyNumberFormat="1" applyFont="1" applyBorder="1"/>
    <xf numFmtId="3" fontId="7" fillId="0" borderId="7" xfId="0" applyNumberFormat="1" applyFont="1" applyBorder="1"/>
    <xf numFmtId="3" fontId="7" fillId="0" borderId="6" xfId="0" applyNumberFormat="1" applyFont="1" applyBorder="1"/>
    <xf numFmtId="0" fontId="6" fillId="0" borderId="8" xfId="0" applyFont="1" applyBorder="1"/>
    <xf numFmtId="3" fontId="6" fillId="0" borderId="8" xfId="0" applyNumberFormat="1" applyFont="1" applyBorder="1"/>
    <xf numFmtId="0" fontId="0" fillId="0" borderId="10" xfId="0" applyBorder="1" applyAlignment="1">
      <alignment wrapText="1"/>
    </xf>
    <xf numFmtId="0" fontId="6" fillId="0" borderId="25" xfId="0" applyFont="1" applyFill="1" applyBorder="1"/>
    <xf numFmtId="0" fontId="6" fillId="0" borderId="38" xfId="0" applyFont="1" applyBorder="1"/>
    <xf numFmtId="3" fontId="6" fillId="0" borderId="25" xfId="0" applyNumberFormat="1" applyFont="1" applyBorder="1"/>
    <xf numFmtId="0" fontId="6" fillId="0" borderId="26" xfId="0" applyFont="1" applyBorder="1"/>
    <xf numFmtId="0" fontId="10" fillId="0" borderId="17" xfId="0" applyFont="1" applyBorder="1" applyAlignment="1">
      <alignment horizontal="left"/>
    </xf>
    <xf numFmtId="0" fontId="0" fillId="0" borderId="2" xfId="0" applyBorder="1"/>
    <xf numFmtId="3" fontId="7" fillId="0" borderId="0" xfId="0" applyNumberFormat="1" applyFont="1"/>
    <xf numFmtId="3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/>
    </xf>
    <xf numFmtId="3" fontId="7" fillId="0" borderId="3" xfId="0" applyNumberFormat="1" applyFont="1" applyFill="1" applyBorder="1"/>
    <xf numFmtId="3" fontId="7" fillId="0" borderId="2" xfId="0" applyNumberFormat="1" applyFont="1" applyFill="1" applyBorder="1"/>
    <xf numFmtId="3" fontId="7" fillId="0" borderId="5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7" fillId="0" borderId="6" xfId="0" applyFont="1" applyFill="1" applyBorder="1"/>
    <xf numFmtId="3" fontId="7" fillId="0" borderId="2" xfId="0" applyNumberFormat="1" applyFont="1" applyBorder="1" applyAlignment="1">
      <alignment horizontal="left"/>
    </xf>
    <xf numFmtId="0" fontId="8" fillId="0" borderId="0" xfId="3" applyFont="1"/>
    <xf numFmtId="0" fontId="8" fillId="0" borderId="13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8" fillId="0" borderId="0" xfId="3" applyFont="1" applyBorder="1" applyAlignment="1">
      <alignment horizontal="left" vertical="center"/>
    </xf>
    <xf numFmtId="0" fontId="8" fillId="0" borderId="0" xfId="3" applyFont="1" applyBorder="1" applyAlignment="1">
      <alignment horizontal="center" vertical="center"/>
    </xf>
    <xf numFmtId="3" fontId="6" fillId="0" borderId="0" xfId="3" applyNumberFormat="1" applyFont="1" applyBorder="1"/>
    <xf numFmtId="0" fontId="8" fillId="0" borderId="0" xfId="3" applyFont="1" applyBorder="1" applyAlignment="1"/>
    <xf numFmtId="0" fontId="17" fillId="0" borderId="0" xfId="4" applyFont="1" applyBorder="1" applyAlignment="1"/>
    <xf numFmtId="3" fontId="17" fillId="0" borderId="0" xfId="4" applyNumberFormat="1" applyFont="1" applyBorder="1" applyAlignment="1"/>
    <xf numFmtId="3" fontId="8" fillId="0" borderId="0" xfId="3" applyNumberFormat="1" applyFont="1" applyBorder="1"/>
    <xf numFmtId="0" fontId="8" fillId="0" borderId="0" xfId="3" applyFont="1" applyBorder="1"/>
    <xf numFmtId="3" fontId="6" fillId="0" borderId="0" xfId="3" applyNumberFormat="1" applyFont="1" applyBorder="1" applyAlignment="1">
      <alignment horizontal="center"/>
    </xf>
    <xf numFmtId="3" fontId="7" fillId="0" borderId="0" xfId="3" applyNumberFormat="1" applyFont="1" applyBorder="1" applyAlignment="1">
      <alignment horizontal="right"/>
    </xf>
    <xf numFmtId="3" fontId="6" fillId="0" borderId="0" xfId="3" applyNumberFormat="1" applyFont="1" applyBorder="1" applyAlignment="1">
      <alignment horizontal="right"/>
    </xf>
    <xf numFmtId="0" fontId="7" fillId="0" borderId="26" xfId="0" applyFont="1" applyBorder="1"/>
    <xf numFmtId="0" fontId="14" fillId="0" borderId="0" xfId="1" applyFont="1" applyFill="1" applyAlignment="1">
      <alignment horizontal="center"/>
    </xf>
    <xf numFmtId="0" fontId="14" fillId="0" borderId="8" xfId="1" applyFont="1" applyFill="1" applyBorder="1" applyAlignment="1">
      <alignment horizontal="center"/>
    </xf>
    <xf numFmtId="0" fontId="6" fillId="0" borderId="8" xfId="1" applyFont="1" applyBorder="1"/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7" fillId="0" borderId="14" xfId="0" applyFont="1" applyFill="1" applyBorder="1"/>
    <xf numFmtId="0" fontId="6" fillId="0" borderId="1" xfId="0" applyFont="1" applyBorder="1" applyAlignment="1">
      <alignment wrapText="1"/>
    </xf>
    <xf numFmtId="0" fontId="17" fillId="0" borderId="18" xfId="4" applyFont="1" applyBorder="1" applyAlignment="1">
      <alignment vertical="center"/>
    </xf>
    <xf numFmtId="0" fontId="17" fillId="0" borderId="19" xfId="4" applyFont="1" applyBorder="1" applyAlignment="1">
      <alignment vertical="center"/>
    </xf>
    <xf numFmtId="0" fontId="6" fillId="0" borderId="0" xfId="1" applyFont="1"/>
    <xf numFmtId="0" fontId="6" fillId="0" borderId="1" xfId="0" applyFont="1" applyFill="1" applyBorder="1" applyAlignment="1">
      <alignment wrapText="1"/>
    </xf>
    <xf numFmtId="3" fontId="0" fillId="0" borderId="1" xfId="0" applyNumberFormat="1" applyBorder="1"/>
    <xf numFmtId="0" fontId="22" fillId="0" borderId="2" xfId="1" applyFont="1" applyFill="1" applyBorder="1"/>
    <xf numFmtId="0" fontId="6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3" fontId="7" fillId="0" borderId="24" xfId="0" applyNumberFormat="1" applyFont="1" applyBorder="1" applyAlignment="1">
      <alignment horizontal="right"/>
    </xf>
    <xf numFmtId="3" fontId="7" fillId="0" borderId="39" xfId="0" applyNumberFormat="1" applyFont="1" applyBorder="1" applyAlignment="1">
      <alignment horizontal="right"/>
    </xf>
    <xf numFmtId="3" fontId="6" fillId="0" borderId="32" xfId="0" applyNumberFormat="1" applyFont="1" applyBorder="1" applyAlignment="1">
      <alignment horizontal="right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/>
    <xf numFmtId="3" fontId="6" fillId="0" borderId="40" xfId="0" applyNumberFormat="1" applyFont="1" applyBorder="1" applyAlignment="1">
      <alignment horizontal="right"/>
    </xf>
    <xf numFmtId="0" fontId="6" fillId="0" borderId="4" xfId="0" applyFont="1" applyBorder="1"/>
    <xf numFmtId="0" fontId="6" fillId="0" borderId="20" xfId="0" applyFont="1" applyBorder="1"/>
    <xf numFmtId="0" fontId="7" fillId="0" borderId="41" xfId="0" applyFont="1" applyBorder="1"/>
    <xf numFmtId="0" fontId="6" fillId="0" borderId="20" xfId="0" applyFont="1" applyFill="1" applyBorder="1" applyAlignment="1">
      <alignment wrapText="1"/>
    </xf>
    <xf numFmtId="0" fontId="6" fillId="0" borderId="6" xfId="0" applyFont="1" applyBorder="1"/>
    <xf numFmtId="0" fontId="0" fillId="0" borderId="0" xfId="0" applyAlignment="1">
      <alignment horizontal="center"/>
    </xf>
    <xf numFmtId="0" fontId="6" fillId="0" borderId="0" xfId="3" applyFont="1" applyBorder="1" applyAlignment="1"/>
    <xf numFmtId="0" fontId="18" fillId="0" borderId="0" xfId="4" applyFont="1" applyBorder="1" applyAlignment="1"/>
    <xf numFmtId="0" fontId="6" fillId="0" borderId="0" xfId="0" applyFont="1" applyFill="1" applyAlignment="1">
      <alignment horizontal="center"/>
    </xf>
    <xf numFmtId="3" fontId="7" fillId="0" borderId="10" xfId="0" applyNumberFormat="1" applyFont="1" applyBorder="1"/>
    <xf numFmtId="3" fontId="6" fillId="0" borderId="0" xfId="0" applyNumberFormat="1" applyFont="1" applyBorder="1"/>
    <xf numFmtId="3" fontId="6" fillId="0" borderId="0" xfId="0" applyNumberFormat="1" applyFont="1" applyFill="1" applyBorder="1"/>
    <xf numFmtId="0" fontId="6" fillId="5" borderId="10" xfId="0" applyFont="1" applyFill="1" applyBorder="1"/>
    <xf numFmtId="3" fontId="6" fillId="5" borderId="11" xfId="0" applyNumberFormat="1" applyFont="1" applyFill="1" applyBorder="1"/>
    <xf numFmtId="3" fontId="6" fillId="5" borderId="12" xfId="0" applyNumberFormat="1" applyFont="1" applyFill="1" applyBorder="1"/>
    <xf numFmtId="0" fontId="7" fillId="5" borderId="14" xfId="0" applyFont="1" applyFill="1" applyBorder="1"/>
    <xf numFmtId="3" fontId="7" fillId="5" borderId="0" xfId="0" applyNumberFormat="1" applyFont="1" applyFill="1" applyBorder="1"/>
    <xf numFmtId="3" fontId="7" fillId="5" borderId="15" xfId="0" applyNumberFormat="1" applyFont="1" applyFill="1" applyBorder="1"/>
    <xf numFmtId="0" fontId="6" fillId="5" borderId="14" xfId="0" applyFont="1" applyFill="1" applyBorder="1"/>
    <xf numFmtId="3" fontId="6" fillId="5" borderId="0" xfId="0" applyNumberFormat="1" applyFont="1" applyFill="1" applyBorder="1"/>
    <xf numFmtId="3" fontId="6" fillId="5" borderId="15" xfId="0" applyNumberFormat="1" applyFont="1" applyFill="1" applyBorder="1"/>
    <xf numFmtId="3" fontId="7" fillId="5" borderId="14" xfId="0" applyNumberFormat="1" applyFont="1" applyFill="1" applyBorder="1"/>
    <xf numFmtId="0" fontId="7" fillId="5" borderId="16" xfId="0" applyFont="1" applyFill="1" applyBorder="1"/>
    <xf numFmtId="3" fontId="7" fillId="5" borderId="9" xfId="0" applyNumberFormat="1" applyFont="1" applyFill="1" applyBorder="1"/>
    <xf numFmtId="3" fontId="7" fillId="5" borderId="17" xfId="0" applyNumberFormat="1" applyFont="1" applyFill="1" applyBorder="1"/>
    <xf numFmtId="0" fontId="0" fillId="0" borderId="0" xfId="0" applyBorder="1" applyAlignment="1">
      <alignment wrapText="1"/>
    </xf>
    <xf numFmtId="0" fontId="7" fillId="0" borderId="29" xfId="0" applyFont="1" applyBorder="1" applyAlignment="1">
      <alignment wrapText="1"/>
    </xf>
    <xf numFmtId="0" fontId="7" fillId="0" borderId="12" xfId="0" applyFont="1" applyBorder="1"/>
    <xf numFmtId="0" fontId="7" fillId="0" borderId="5" xfId="0" applyFont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3" fontId="7" fillId="0" borderId="31" xfId="0" applyNumberFormat="1" applyFont="1" applyBorder="1" applyAlignment="1">
      <alignment horizontal="left"/>
    </xf>
    <xf numFmtId="3" fontId="7" fillId="0" borderId="33" xfId="0" applyNumberFormat="1" applyFont="1" applyBorder="1" applyAlignment="1">
      <alignment horizontal="left"/>
    </xf>
    <xf numFmtId="3" fontId="8" fillId="0" borderId="0" xfId="3" applyNumberFormat="1" applyFont="1" applyAlignment="1">
      <alignment horizontal="center"/>
    </xf>
    <xf numFmtId="0" fontId="8" fillId="0" borderId="0" xfId="3" applyFont="1" applyAlignment="1">
      <alignment horizontal="center"/>
    </xf>
    <xf numFmtId="3" fontId="26" fillId="0" borderId="0" xfId="3" applyNumberFormat="1" applyFont="1"/>
    <xf numFmtId="3" fontId="8" fillId="0" borderId="0" xfId="3" applyNumberFormat="1" applyFont="1"/>
    <xf numFmtId="0" fontId="8" fillId="0" borderId="10" xfId="3" applyFont="1" applyBorder="1" applyAlignment="1">
      <alignment horizontal="center" vertical="center"/>
    </xf>
    <xf numFmtId="0" fontId="18" fillId="0" borderId="14" xfId="4" applyFont="1" applyBorder="1" applyAlignment="1">
      <alignment horizontal="center" vertical="center"/>
    </xf>
    <xf numFmtId="0" fontId="18" fillId="0" borderId="8" xfId="4" applyFont="1" applyBorder="1" applyAlignment="1">
      <alignment horizontal="center" vertical="center"/>
    </xf>
    <xf numFmtId="0" fontId="17" fillId="0" borderId="13" xfId="4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9" fillId="28" borderId="10" xfId="0" applyFont="1" applyFill="1" applyBorder="1"/>
    <xf numFmtId="0" fontId="9" fillId="28" borderId="11" xfId="0" applyFont="1" applyFill="1" applyBorder="1"/>
    <xf numFmtId="0" fontId="9" fillId="28" borderId="14" xfId="0" applyFont="1" applyFill="1" applyBorder="1"/>
    <xf numFmtId="0" fontId="9" fillId="28" borderId="0" xfId="0" applyFont="1" applyFill="1" applyBorder="1" applyAlignment="1">
      <alignment horizontal="left"/>
    </xf>
    <xf numFmtId="0" fontId="12" fillId="28" borderId="14" xfId="0" applyFont="1" applyFill="1" applyBorder="1"/>
    <xf numFmtId="0" fontId="12" fillId="28" borderId="0" xfId="0" applyFont="1" applyFill="1" applyBorder="1"/>
    <xf numFmtId="0" fontId="12" fillId="28" borderId="16" xfId="0" applyFont="1" applyFill="1" applyBorder="1"/>
    <xf numFmtId="0" fontId="12" fillId="28" borderId="9" xfId="0" applyFont="1" applyFill="1" applyBorder="1"/>
    <xf numFmtId="3" fontId="6" fillId="28" borderId="13" xfId="0" applyNumberFormat="1" applyFont="1" applyFill="1" applyBorder="1" applyAlignment="1">
      <alignment horizontal="right"/>
    </xf>
    <xf numFmtId="0" fontId="6" fillId="28" borderId="14" xfId="0" applyFont="1" applyFill="1" applyBorder="1"/>
    <xf numFmtId="0" fontId="6" fillId="28" borderId="0" xfId="0" applyFont="1" applyFill="1" applyBorder="1"/>
    <xf numFmtId="0" fontId="6" fillId="28" borderId="16" xfId="0" applyFont="1" applyFill="1" applyBorder="1"/>
    <xf numFmtId="0" fontId="6" fillId="28" borderId="9" xfId="0" applyFont="1" applyFill="1" applyBorder="1"/>
    <xf numFmtId="0" fontId="10" fillId="28" borderId="16" xfId="0" applyFont="1" applyFill="1" applyBorder="1"/>
    <xf numFmtId="3" fontId="7" fillId="0" borderId="25" xfId="0" applyNumberFormat="1" applyFont="1" applyBorder="1"/>
    <xf numFmtId="0" fontId="8" fillId="29" borderId="24" xfId="3" applyFont="1" applyFill="1" applyBorder="1" applyAlignment="1">
      <alignment wrapText="1"/>
    </xf>
    <xf numFmtId="0" fontId="6" fillId="29" borderId="24" xfId="3" applyFont="1" applyFill="1" applyBorder="1" applyAlignment="1">
      <alignment wrapText="1"/>
    </xf>
    <xf numFmtId="3" fontId="6" fillId="29" borderId="24" xfId="3" applyNumberFormat="1" applyFont="1" applyFill="1" applyBorder="1" applyAlignment="1">
      <alignment wrapText="1"/>
    </xf>
    <xf numFmtId="1" fontId="6" fillId="29" borderId="24" xfId="3" applyNumberFormat="1" applyFont="1" applyFill="1" applyBorder="1" applyAlignment="1">
      <alignment horizontal="center"/>
    </xf>
    <xf numFmtId="3" fontId="6" fillId="29" borderId="24" xfId="3" applyNumberFormat="1" applyFont="1" applyFill="1" applyBorder="1" applyAlignment="1">
      <alignment horizontal="right"/>
    </xf>
    <xf numFmtId="0" fontId="8" fillId="29" borderId="0" xfId="3" applyFont="1" applyFill="1" applyBorder="1" applyAlignment="1">
      <alignment wrapText="1"/>
    </xf>
    <xf numFmtId="0" fontId="6" fillId="29" borderId="0" xfId="3" applyFont="1" applyFill="1" applyBorder="1" applyAlignment="1">
      <alignment wrapText="1"/>
    </xf>
    <xf numFmtId="3" fontId="6" fillId="29" borderId="0" xfId="3" applyNumberFormat="1" applyFont="1" applyFill="1" applyBorder="1" applyAlignment="1">
      <alignment wrapText="1"/>
    </xf>
    <xf numFmtId="1" fontId="6" fillId="29" borderId="0" xfId="3" applyNumberFormat="1" applyFont="1" applyFill="1" applyBorder="1" applyAlignment="1">
      <alignment horizontal="center"/>
    </xf>
    <xf numFmtId="3" fontId="6" fillId="29" borderId="0" xfId="3" applyNumberFormat="1" applyFont="1" applyFill="1" applyBorder="1" applyAlignment="1">
      <alignment horizontal="right"/>
    </xf>
    <xf numFmtId="3" fontId="6" fillId="0" borderId="0" xfId="3" applyNumberFormat="1" applyFont="1" applyFill="1" applyBorder="1" applyAlignment="1">
      <alignment wrapText="1"/>
    </xf>
    <xf numFmtId="1" fontId="6" fillId="0" borderId="0" xfId="3" applyNumberFormat="1" applyFont="1" applyFill="1" applyBorder="1" applyAlignment="1">
      <alignment horizontal="center"/>
    </xf>
    <xf numFmtId="3" fontId="6" fillId="0" borderId="0" xfId="3" applyNumberFormat="1" applyFont="1" applyFill="1" applyBorder="1" applyAlignment="1">
      <alignment horizontal="right"/>
    </xf>
    <xf numFmtId="0" fontId="7" fillId="0" borderId="0" xfId="48"/>
    <xf numFmtId="0" fontId="6" fillId="0" borderId="0" xfId="48" applyFont="1"/>
    <xf numFmtId="0" fontId="7" fillId="0" borderId="0" xfId="48" applyFont="1"/>
    <xf numFmtId="3" fontId="7" fillId="0" borderId="12" xfId="0" applyNumberFormat="1" applyFont="1" applyBorder="1" applyAlignment="1">
      <alignment horizontal="right"/>
    </xf>
    <xf numFmtId="3" fontId="7" fillId="0" borderId="13" xfId="0" applyNumberFormat="1" applyFont="1" applyBorder="1" applyAlignment="1">
      <alignment horizontal="right"/>
    </xf>
    <xf numFmtId="3" fontId="7" fillId="0" borderId="15" xfId="0" applyNumberFormat="1" applyFont="1" applyBorder="1" applyAlignment="1">
      <alignment horizontal="right"/>
    </xf>
    <xf numFmtId="3" fontId="7" fillId="0" borderId="8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14" xfId="0" applyNumberFormat="1" applyFont="1" applyBorder="1" applyAlignment="1">
      <alignment horizontal="right"/>
    </xf>
    <xf numFmtId="3" fontId="7" fillId="0" borderId="13" xfId="0" applyNumberFormat="1" applyFont="1" applyFill="1" applyBorder="1" applyAlignment="1">
      <alignment horizontal="right"/>
    </xf>
    <xf numFmtId="3" fontId="7" fillId="0" borderId="8" xfId="0" applyNumberFormat="1" applyFont="1" applyFill="1" applyBorder="1" applyAlignment="1">
      <alignment horizontal="right"/>
    </xf>
    <xf numFmtId="3" fontId="7" fillId="0" borderId="14" xfId="0" applyNumberFormat="1" applyFont="1" applyFill="1" applyBorder="1" applyAlignment="1">
      <alignment horizontal="right"/>
    </xf>
    <xf numFmtId="3" fontId="7" fillId="0" borderId="7" xfId="0" applyNumberFormat="1" applyFont="1" applyFill="1" applyBorder="1" applyAlignment="1">
      <alignment horizontal="right"/>
    </xf>
    <xf numFmtId="0" fontId="7" fillId="0" borderId="13" xfId="0" applyFont="1" applyBorder="1" applyAlignment="1">
      <alignment horizontal="right"/>
    </xf>
    <xf numFmtId="3" fontId="13" fillId="0" borderId="8" xfId="0" applyNumberFormat="1" applyFont="1" applyFill="1" applyBorder="1"/>
    <xf numFmtId="3" fontId="13" fillId="0" borderId="13" xfId="0" applyNumberFormat="1" applyFont="1" applyFill="1" applyBorder="1"/>
    <xf numFmtId="3" fontId="13" fillId="0" borderId="12" xfId="0" applyNumberFormat="1" applyFont="1" applyFill="1" applyBorder="1"/>
    <xf numFmtId="3" fontId="13" fillId="0" borderId="15" xfId="0" applyNumberFormat="1" applyFont="1" applyFill="1" applyBorder="1"/>
    <xf numFmtId="0" fontId="7" fillId="0" borderId="0" xfId="0" applyFont="1" applyFill="1" applyAlignment="1">
      <alignment wrapText="1"/>
    </xf>
    <xf numFmtId="3" fontId="7" fillId="0" borderId="7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3" fontId="7" fillId="0" borderId="17" xfId="0" applyNumberFormat="1" applyFont="1" applyBorder="1" applyAlignment="1">
      <alignment horizontal="right" vertical="center" wrapText="1"/>
    </xf>
    <xf numFmtId="3" fontId="7" fillId="0" borderId="7" xfId="0" applyNumberFormat="1" applyFont="1" applyBorder="1" applyAlignment="1">
      <alignment horizontal="righ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16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3" fontId="7" fillId="0" borderId="15" xfId="0" applyNumberFormat="1" applyFont="1" applyBorder="1" applyAlignment="1">
      <alignment horizontal="right" vertical="center" wrapText="1"/>
    </xf>
    <xf numFmtId="3" fontId="7" fillId="0" borderId="8" xfId="0" applyNumberFormat="1" applyFont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7" fillId="0" borderId="14" xfId="0" applyNumberFormat="1" applyFont="1" applyBorder="1" applyAlignment="1">
      <alignment horizontal="right" vertical="center" wrapText="1"/>
    </xf>
    <xf numFmtId="3" fontId="7" fillId="0" borderId="16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3" fontId="7" fillId="2" borderId="14" xfId="0" applyNumberFormat="1" applyFont="1" applyFill="1" applyBorder="1" applyAlignment="1">
      <alignment horizontal="right"/>
    </xf>
    <xf numFmtId="0" fontId="7" fillId="0" borderId="7" xfId="0" applyFont="1" applyBorder="1" applyAlignment="1">
      <alignment horizontal="right"/>
    </xf>
    <xf numFmtId="3" fontId="7" fillId="2" borderId="7" xfId="0" applyNumberFormat="1" applyFont="1" applyFill="1" applyBorder="1" applyAlignment="1">
      <alignment horizontal="right"/>
    </xf>
    <xf numFmtId="3" fontId="7" fillId="2" borderId="16" xfId="0" applyNumberFormat="1" applyFont="1" applyFill="1" applyBorder="1" applyAlignment="1">
      <alignment horizontal="right"/>
    </xf>
    <xf numFmtId="3" fontId="13" fillId="0" borderId="11" xfId="0" applyNumberFormat="1" applyFont="1" applyFill="1" applyBorder="1"/>
    <xf numFmtId="3" fontId="13" fillId="0" borderId="0" xfId="0" applyNumberFormat="1" applyFont="1" applyFill="1" applyBorder="1"/>
    <xf numFmtId="3" fontId="8" fillId="28" borderId="1" xfId="0" applyNumberFormat="1" applyFont="1" applyFill="1" applyBorder="1"/>
    <xf numFmtId="0" fontId="5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center" vertical="center"/>
    </xf>
    <xf numFmtId="164" fontId="5" fillId="0" borderId="0" xfId="3" applyNumberFormat="1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 wrapText="1"/>
    </xf>
    <xf numFmtId="164" fontId="5" fillId="0" borderId="0" xfId="3" applyNumberFormat="1" applyFont="1" applyBorder="1" applyAlignment="1">
      <alignment horizontal="center" vertical="center" wrapText="1"/>
    </xf>
    <xf numFmtId="164" fontId="5" fillId="29" borderId="24" xfId="3" applyNumberFormat="1" applyFont="1" applyFill="1" applyBorder="1" applyAlignment="1">
      <alignment horizontal="right"/>
    </xf>
    <xf numFmtId="164" fontId="5" fillId="29" borderId="0" xfId="3" applyNumberFormat="1" applyFont="1" applyFill="1" applyBorder="1" applyAlignment="1">
      <alignment horizontal="right"/>
    </xf>
    <xf numFmtId="0" fontId="12" fillId="0" borderId="0" xfId="0" applyFont="1" applyFill="1" applyBorder="1"/>
    <xf numFmtId="3" fontId="7" fillId="0" borderId="12" xfId="0" applyNumberFormat="1" applyFont="1" applyBorder="1" applyAlignment="1">
      <alignment horizontal="right" vertical="center" wrapText="1"/>
    </xf>
    <xf numFmtId="3" fontId="7" fillId="0" borderId="13" xfId="0" applyNumberFormat="1" applyFont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3" fontId="7" fillId="0" borderId="10" xfId="0" applyNumberFormat="1" applyFont="1" applyBorder="1" applyAlignment="1">
      <alignment horizontal="right" vertical="center" wrapText="1"/>
    </xf>
    <xf numFmtId="3" fontId="24" fillId="0" borderId="0" xfId="0" applyNumberFormat="1" applyFont="1" applyFill="1" applyBorder="1"/>
    <xf numFmtId="3" fontId="24" fillId="0" borderId="13" xfId="0" applyNumberFormat="1" applyFont="1" applyFill="1" applyBorder="1"/>
    <xf numFmtId="3" fontId="24" fillId="0" borderId="8" xfId="0" applyNumberFormat="1" applyFont="1" applyFill="1" applyBorder="1"/>
    <xf numFmtId="3" fontId="24" fillId="0" borderId="7" xfId="0" applyNumberFormat="1" applyFont="1" applyFill="1" applyBorder="1"/>
    <xf numFmtId="0" fontId="7" fillId="0" borderId="41" xfId="0" applyFont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14" fillId="0" borderId="1" xfId="1" applyFont="1" applyFill="1" applyBorder="1"/>
    <xf numFmtId="0" fontId="14" fillId="0" borderId="4" xfId="1" applyFont="1" applyFill="1" applyBorder="1" applyAlignment="1">
      <alignment wrapText="1"/>
    </xf>
    <xf numFmtId="3" fontId="7" fillId="0" borderId="27" xfId="0" applyNumberFormat="1" applyFont="1" applyBorder="1" applyAlignment="1">
      <alignment horizontal="right"/>
    </xf>
    <xf numFmtId="3" fontId="6" fillId="0" borderId="37" xfId="0" applyNumberFormat="1" applyFont="1" applyBorder="1" applyAlignment="1">
      <alignment horizontal="right"/>
    </xf>
    <xf numFmtId="3" fontId="7" fillId="0" borderId="30" xfId="0" applyNumberFormat="1" applyFont="1" applyBorder="1" applyAlignment="1">
      <alignment horizontal="left" wrapText="1"/>
    </xf>
    <xf numFmtId="3" fontId="7" fillId="0" borderId="8" xfId="0" applyNumberFormat="1" applyFont="1" applyBorder="1" applyAlignment="1">
      <alignment horizontal="left" wrapText="1"/>
    </xf>
    <xf numFmtId="0" fontId="6" fillId="0" borderId="2" xfId="0" applyFont="1" applyBorder="1"/>
    <xf numFmtId="0" fontId="6" fillId="0" borderId="0" xfId="0" applyFont="1" applyFill="1" applyAlignment="1">
      <alignment wrapText="1"/>
    </xf>
    <xf numFmtId="0" fontId="6" fillId="0" borderId="0" xfId="0" applyFont="1" applyAlignment="1">
      <alignment horizontal="center"/>
    </xf>
    <xf numFmtId="3" fontId="9" fillId="0" borderId="1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0" fontId="9" fillId="28" borderId="11" xfId="0" applyFont="1" applyFill="1" applyBorder="1" applyAlignment="1">
      <alignment horizontal="left"/>
    </xf>
    <xf numFmtId="0" fontId="10" fillId="0" borderId="16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/>
    </xf>
    <xf numFmtId="0" fontId="10" fillId="0" borderId="9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7" fillId="0" borderId="0" xfId="0" applyNumberFormat="1" applyFont="1" applyFill="1"/>
    <xf numFmtId="0" fontId="7" fillId="0" borderId="0" xfId="0" applyFont="1" applyFill="1" applyBorder="1" applyAlignment="1"/>
    <xf numFmtId="3" fontId="10" fillId="0" borderId="0" xfId="0" applyNumberFormat="1" applyFont="1"/>
    <xf numFmtId="0" fontId="7" fillId="0" borderId="0" xfId="0" applyFont="1" applyAlignment="1">
      <alignment horizontal="left"/>
    </xf>
    <xf numFmtId="3" fontId="7" fillId="2" borderId="13" xfId="0" applyNumberFormat="1" applyFont="1" applyFill="1" applyBorder="1" applyAlignment="1">
      <alignment horizontal="right"/>
    </xf>
    <xf numFmtId="3" fontId="7" fillId="2" borderId="10" xfId="0" applyNumberFormat="1" applyFont="1" applyFill="1" applyBorder="1" applyAlignment="1">
      <alignment horizontal="right"/>
    </xf>
    <xf numFmtId="0" fontId="7" fillId="28" borderId="0" xfId="0" applyFont="1" applyFill="1" applyBorder="1"/>
    <xf numFmtId="0" fontId="7" fillId="28" borderId="9" xfId="0" applyFont="1" applyFill="1" applyBorder="1"/>
    <xf numFmtId="0" fontId="7" fillId="0" borderId="0" xfId="1" applyFont="1" applyFill="1"/>
    <xf numFmtId="0" fontId="7" fillId="0" borderId="0" xfId="1" applyFont="1"/>
    <xf numFmtId="0" fontId="7" fillId="0" borderId="0" xfId="1" applyFont="1" applyFill="1" applyAlignment="1">
      <alignment horizontal="center"/>
    </xf>
    <xf numFmtId="0" fontId="7" fillId="0" borderId="2" xfId="1" applyFont="1" applyFill="1" applyBorder="1"/>
    <xf numFmtId="0" fontId="7" fillId="0" borderId="0" xfId="1" applyFont="1" applyBorder="1"/>
    <xf numFmtId="0" fontId="7" fillId="0" borderId="4" xfId="1" applyFont="1" applyFill="1" applyBorder="1"/>
    <xf numFmtId="0" fontId="7" fillId="0" borderId="1" xfId="1" applyFont="1" applyFill="1" applyBorder="1"/>
    <xf numFmtId="3" fontId="7" fillId="0" borderId="8" xfId="0" applyNumberFormat="1" applyFont="1" applyBorder="1"/>
    <xf numFmtId="0" fontId="15" fillId="0" borderId="0" xfId="4" applyFont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/>
    <xf numFmtId="49" fontId="23" fillId="0" borderId="14" xfId="0" quotePrefix="1" applyNumberFormat="1" applyFont="1" applyFill="1" applyBorder="1"/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3" fontId="7" fillId="0" borderId="22" xfId="0" applyNumberFormat="1" applyFont="1" applyBorder="1"/>
    <xf numFmtId="3" fontId="6" fillId="0" borderId="16" xfId="0" applyNumberFormat="1" applyFont="1" applyBorder="1"/>
    <xf numFmtId="0" fontId="7" fillId="0" borderId="4" xfId="0" applyFont="1" applyBorder="1" applyAlignment="1">
      <alignment wrapText="1"/>
    </xf>
    <xf numFmtId="0" fontId="8" fillId="0" borderId="0" xfId="3" applyFont="1" applyFill="1" applyBorder="1" applyAlignment="1">
      <alignment horizontal="left" wrapText="1"/>
    </xf>
    <xf numFmtId="164" fontId="5" fillId="0" borderId="0" xfId="5" applyNumberFormat="1" applyFont="1" applyBorder="1" applyAlignment="1">
      <alignment horizontal="center" vertical="center" wrapText="1"/>
    </xf>
    <xf numFmtId="164" fontId="7" fillId="0" borderId="0" xfId="1" applyNumberFormat="1" applyFont="1"/>
    <xf numFmtId="164" fontId="6" fillId="0" borderId="0" xfId="1" applyNumberFormat="1" applyFont="1"/>
    <xf numFmtId="0" fontId="8" fillId="0" borderId="0" xfId="3" applyFont="1" applyFill="1" applyBorder="1" applyAlignment="1">
      <alignment wrapText="1"/>
    </xf>
    <xf numFmtId="0" fontId="6" fillId="0" borderId="0" xfId="3" applyFont="1" applyFill="1" applyBorder="1" applyAlignment="1">
      <alignment wrapText="1"/>
    </xf>
    <xf numFmtId="164" fontId="5" fillId="0" borderId="0" xfId="3" applyNumberFormat="1" applyFont="1" applyFill="1" applyBorder="1" applyAlignment="1">
      <alignment horizontal="right"/>
    </xf>
    <xf numFmtId="3" fontId="5" fillId="0" borderId="0" xfId="3" applyNumberFormat="1" applyFont="1" applyFill="1" applyBorder="1" applyAlignment="1">
      <alignment horizontal="right"/>
    </xf>
    <xf numFmtId="0" fontId="8" fillId="30" borderId="24" xfId="3" applyFont="1" applyFill="1" applyBorder="1" applyAlignment="1">
      <alignment wrapText="1"/>
    </xf>
    <xf numFmtId="0" fontId="6" fillId="30" borderId="24" xfId="3" applyFont="1" applyFill="1" applyBorder="1" applyAlignment="1">
      <alignment wrapText="1"/>
    </xf>
    <xf numFmtId="3" fontId="6" fillId="30" borderId="24" xfId="3" applyNumberFormat="1" applyFont="1" applyFill="1" applyBorder="1" applyAlignment="1">
      <alignment wrapText="1"/>
    </xf>
    <xf numFmtId="1" fontId="6" fillId="30" borderId="24" xfId="3" applyNumberFormat="1" applyFont="1" applyFill="1" applyBorder="1" applyAlignment="1">
      <alignment horizontal="center"/>
    </xf>
    <xf numFmtId="3" fontId="6" fillId="30" borderId="24" xfId="3" applyNumberFormat="1" applyFont="1" applyFill="1" applyBorder="1" applyAlignment="1">
      <alignment horizontal="right"/>
    </xf>
    <xf numFmtId="164" fontId="5" fillId="30" borderId="24" xfId="3" applyNumberFormat="1" applyFont="1" applyFill="1" applyBorder="1" applyAlignment="1">
      <alignment horizontal="right"/>
    </xf>
    <xf numFmtId="0" fontId="8" fillId="30" borderId="0" xfId="3" applyFont="1" applyFill="1" applyBorder="1" applyAlignment="1">
      <alignment wrapText="1"/>
    </xf>
    <xf numFmtId="0" fontId="6" fillId="30" borderId="0" xfId="3" applyFont="1" applyFill="1" applyBorder="1" applyAlignment="1">
      <alignment wrapText="1"/>
    </xf>
    <xf numFmtId="3" fontId="6" fillId="30" borderId="0" xfId="3" applyNumberFormat="1" applyFont="1" applyFill="1" applyBorder="1" applyAlignment="1">
      <alignment wrapText="1"/>
    </xf>
    <xf numFmtId="1" fontId="6" fillId="30" borderId="0" xfId="3" applyNumberFormat="1" applyFont="1" applyFill="1" applyBorder="1" applyAlignment="1">
      <alignment horizontal="center"/>
    </xf>
    <xf numFmtId="3" fontId="6" fillId="30" borderId="0" xfId="3" applyNumberFormat="1" applyFont="1" applyFill="1" applyBorder="1" applyAlignment="1">
      <alignment horizontal="right"/>
    </xf>
    <xf numFmtId="164" fontId="5" fillId="30" borderId="0" xfId="3" applyNumberFormat="1" applyFont="1" applyFill="1" applyBorder="1" applyAlignment="1">
      <alignment horizontal="right"/>
    </xf>
    <xf numFmtId="0" fontId="8" fillId="0" borderId="24" xfId="3" applyFont="1" applyFill="1" applyBorder="1" applyAlignment="1">
      <alignment wrapText="1"/>
    </xf>
    <xf numFmtId="0" fontId="6" fillId="0" borderId="24" xfId="3" applyFont="1" applyFill="1" applyBorder="1" applyAlignment="1">
      <alignment wrapText="1"/>
    </xf>
    <xf numFmtId="3" fontId="6" fillId="0" borderId="24" xfId="3" applyNumberFormat="1" applyFont="1" applyFill="1" applyBorder="1" applyAlignment="1">
      <alignment wrapText="1"/>
    </xf>
    <xf numFmtId="1" fontId="6" fillId="0" borderId="24" xfId="3" applyNumberFormat="1" applyFont="1" applyFill="1" applyBorder="1" applyAlignment="1">
      <alignment horizontal="center"/>
    </xf>
    <xf numFmtId="3" fontId="6" fillId="0" borderId="24" xfId="3" applyNumberFormat="1" applyFont="1" applyFill="1" applyBorder="1" applyAlignment="1">
      <alignment horizontal="right"/>
    </xf>
    <xf numFmtId="164" fontId="5" fillId="0" borderId="24" xfId="3" applyNumberFormat="1" applyFont="1" applyFill="1" applyBorder="1" applyAlignment="1">
      <alignment horizontal="right"/>
    </xf>
    <xf numFmtId="164" fontId="6" fillId="0" borderId="0" xfId="1" applyNumberFormat="1" applyFont="1" applyFill="1"/>
    <xf numFmtId="3" fontId="8" fillId="3" borderId="0" xfId="3" applyNumberFormat="1" applyFont="1" applyFill="1" applyBorder="1"/>
    <xf numFmtId="0" fontId="20" fillId="0" borderId="0" xfId="63" applyFont="1"/>
    <xf numFmtId="0" fontId="21" fillId="0" borderId="24" xfId="63" applyFont="1" applyBorder="1"/>
    <xf numFmtId="0" fontId="20" fillId="0" borderId="0" xfId="63" applyFont="1" applyBorder="1"/>
    <xf numFmtId="0" fontId="20" fillId="0" borderId="0" xfId="63" applyFont="1" applyBorder="1" applyAlignment="1"/>
    <xf numFmtId="0" fontId="6" fillId="0" borderId="0" xfId="0" applyFont="1" applyBorder="1" applyAlignment="1">
      <alignment horizontal="center"/>
    </xf>
    <xf numFmtId="0" fontId="20" fillId="0" borderId="0" xfId="63" applyFont="1" applyBorder="1" applyAlignment="1">
      <alignment horizontal="center"/>
    </xf>
    <xf numFmtId="3" fontId="49" fillId="0" borderId="0" xfId="63" applyNumberFormat="1" applyFont="1" applyBorder="1"/>
    <xf numFmtId="3" fontId="50" fillId="0" borderId="0" xfId="63" applyNumberFormat="1" applyFont="1" applyBorder="1"/>
    <xf numFmtId="0" fontId="18" fillId="0" borderId="0" xfId="0" applyFont="1"/>
    <xf numFmtId="0" fontId="7" fillId="0" borderId="1" xfId="0" applyFont="1" applyBorder="1" applyAlignment="1">
      <alignment wrapText="1"/>
    </xf>
    <xf numFmtId="0" fontId="10" fillId="0" borderId="15" xfId="0" applyFont="1" applyBorder="1" applyAlignment="1">
      <alignment horizontal="left"/>
    </xf>
    <xf numFmtId="1" fontId="7" fillId="0" borderId="8" xfId="47" applyNumberFormat="1" applyFont="1" applyBorder="1" applyAlignment="1">
      <alignment horizontal="right"/>
    </xf>
    <xf numFmtId="3" fontId="7" fillId="0" borderId="25" xfId="0" applyNumberFormat="1" applyFont="1" applyFill="1" applyBorder="1"/>
    <xf numFmtId="0" fontId="7" fillId="0" borderId="26" xfId="0" applyFont="1" applyFill="1" applyBorder="1"/>
    <xf numFmtId="0" fontId="7" fillId="0" borderId="0" xfId="48" applyFont="1" applyFill="1"/>
    <xf numFmtId="164" fontId="7" fillId="0" borderId="0" xfId="48" applyNumberFormat="1" applyFont="1" applyFill="1"/>
    <xf numFmtId="0" fontId="6" fillId="0" borderId="0" xfId="48" applyFont="1" applyFill="1"/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15" fillId="0" borderId="0" xfId="0" applyFont="1" applyFill="1" applyAlignment="1">
      <alignment wrapText="1"/>
    </xf>
    <xf numFmtId="0" fontId="55" fillId="0" borderId="24" xfId="0" applyFont="1" applyFill="1" applyBorder="1" applyAlignment="1">
      <alignment horizontal="center" vertical="center" wrapText="1"/>
    </xf>
    <xf numFmtId="3" fontId="7" fillId="0" borderId="33" xfId="0" applyNumberFormat="1" applyFont="1" applyBorder="1" applyAlignment="1">
      <alignment horizontal="left" wrapText="1"/>
    </xf>
    <xf numFmtId="0" fontId="7" fillId="0" borderId="0" xfId="48" applyFill="1"/>
    <xf numFmtId="0" fontId="48" fillId="0" borderId="24" xfId="0" applyFont="1" applyFill="1" applyBorder="1" applyAlignment="1">
      <alignment horizontal="center" vertical="center"/>
    </xf>
    <xf numFmtId="165" fontId="7" fillId="0" borderId="8" xfId="47" applyNumberFormat="1" applyFont="1" applyBorder="1" applyAlignment="1">
      <alignment horizontal="right"/>
    </xf>
    <xf numFmtId="0" fontId="23" fillId="0" borderId="0" xfId="0" applyFont="1" applyFill="1" applyBorder="1"/>
    <xf numFmtId="0" fontId="23" fillId="0" borderId="15" xfId="0" applyFont="1" applyFill="1" applyBorder="1"/>
    <xf numFmtId="0" fontId="23" fillId="0" borderId="14" xfId="0" quotePrefix="1" applyFont="1" applyFill="1" applyBorder="1"/>
    <xf numFmtId="0" fontId="11" fillId="0" borderId="14" xfId="0" quotePrefix="1" applyFont="1" applyFill="1" applyBorder="1"/>
    <xf numFmtId="164" fontId="5" fillId="0" borderId="1" xfId="0" applyNumberFormat="1" applyFont="1" applyBorder="1"/>
    <xf numFmtId="3" fontId="6" fillId="0" borderId="24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165" fontId="7" fillId="0" borderId="7" xfId="47" applyNumberFormat="1" applyFont="1" applyBorder="1" applyAlignment="1">
      <alignment horizontal="right" vertical="center"/>
    </xf>
    <xf numFmtId="165" fontId="7" fillId="0" borderId="13" xfId="47" applyNumberFormat="1" applyFont="1" applyBorder="1" applyAlignment="1">
      <alignment vertical="center"/>
    </xf>
    <xf numFmtId="49" fontId="23" fillId="0" borderId="14" xfId="0" quotePrefix="1" applyNumberFormat="1" applyFont="1" applyFill="1" applyBorder="1" applyAlignment="1"/>
    <xf numFmtId="0" fontId="10" fillId="0" borderId="0" xfId="0" applyFont="1" applyFill="1" applyBorder="1" applyAlignment="1"/>
    <xf numFmtId="0" fontId="10" fillId="0" borderId="15" xfId="0" applyFont="1" applyFill="1" applyBorder="1" applyAlignment="1"/>
    <xf numFmtId="164" fontId="7" fillId="0" borderId="0" xfId="0" applyNumberFormat="1" applyFont="1"/>
    <xf numFmtId="0" fontId="6" fillId="0" borderId="7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0" xfId="48" applyFont="1" applyFill="1" applyBorder="1"/>
    <xf numFmtId="0" fontId="7" fillId="0" borderId="0" xfId="48" applyBorder="1"/>
    <xf numFmtId="0" fontId="7" fillId="0" borderId="0" xfId="0" applyFont="1" applyFill="1" applyBorder="1" applyAlignment="1">
      <alignment horizontal="center"/>
    </xf>
    <xf numFmtId="1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7" fillId="4" borderId="24" xfId="48" applyFont="1" applyFill="1" applyBorder="1" applyAlignment="1">
      <alignment wrapText="1"/>
    </xf>
    <xf numFmtId="0" fontId="57" fillId="0" borderId="0" xfId="0" applyFont="1"/>
    <xf numFmtId="3" fontId="57" fillId="0" borderId="0" xfId="0" applyNumberFormat="1" applyFont="1"/>
    <xf numFmtId="0" fontId="57" fillId="0" borderId="0" xfId="0" applyFont="1" applyFill="1"/>
    <xf numFmtId="3" fontId="46" fillId="0" borderId="13" xfId="0" applyNumberFormat="1" applyFont="1" applyBorder="1" applyAlignment="1">
      <alignment horizontal="right" vertical="center" wrapText="1"/>
    </xf>
    <xf numFmtId="3" fontId="57" fillId="0" borderId="0" xfId="0" applyNumberFormat="1" applyFont="1" applyFill="1"/>
    <xf numFmtId="164" fontId="57" fillId="0" borderId="0" xfId="0" applyNumberFormat="1" applyFont="1"/>
    <xf numFmtId="3" fontId="58" fillId="0" borderId="0" xfId="3" applyNumberFormat="1" applyFont="1" applyBorder="1"/>
    <xf numFmtId="3" fontId="59" fillId="0" borderId="0" xfId="3" applyNumberFormat="1" applyFont="1" applyBorder="1" applyAlignment="1">
      <alignment horizontal="right"/>
    </xf>
    <xf numFmtId="3" fontId="58" fillId="0" borderId="0" xfId="3" applyNumberFormat="1" applyFont="1" applyBorder="1" applyAlignment="1">
      <alignment horizontal="right"/>
    </xf>
    <xf numFmtId="0" fontId="10" fillId="0" borderId="18" xfId="0" applyFont="1" applyBorder="1" applyAlignment="1">
      <alignment wrapText="1"/>
    </xf>
    <xf numFmtId="0" fontId="11" fillId="0" borderId="13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0" xfId="0" quotePrefix="1" applyFont="1" applyBorder="1" applyAlignment="1">
      <alignment horizontal="left" vertical="center" wrapText="1"/>
    </xf>
    <xf numFmtId="0" fontId="7" fillId="0" borderId="0" xfId="1" applyFont="1" applyAlignment="1">
      <alignment horizontal="right"/>
    </xf>
    <xf numFmtId="0" fontId="14" fillId="0" borderId="0" xfId="0" applyFont="1" applyAlignment="1">
      <alignment horizontal="justify" vertical="center"/>
    </xf>
    <xf numFmtId="0" fontId="14" fillId="0" borderId="0" xfId="63" applyFont="1"/>
    <xf numFmtId="0" fontId="10" fillId="0" borderId="14" xfId="0" quotePrefix="1" applyFont="1" applyBorder="1"/>
    <xf numFmtId="1" fontId="7" fillId="0" borderId="24" xfId="48" applyNumberFormat="1" applyFont="1" applyFill="1" applyBorder="1" applyAlignment="1">
      <alignment horizontal="center"/>
    </xf>
    <xf numFmtId="14" fontId="7" fillId="0" borderId="24" xfId="48" applyNumberFormat="1" applyFont="1" applyFill="1" applyBorder="1" applyAlignment="1">
      <alignment horizontal="right"/>
    </xf>
    <xf numFmtId="164" fontId="7" fillId="0" borderId="24" xfId="48" applyNumberFormat="1" applyFont="1" applyFill="1" applyBorder="1" applyAlignment="1">
      <alignment horizontal="right"/>
    </xf>
    <xf numFmtId="164" fontId="7" fillId="0" borderId="24" xfId="48" applyNumberFormat="1" applyFont="1" applyFill="1" applyBorder="1" applyAlignment="1">
      <alignment horizontal="right" wrapText="1"/>
    </xf>
    <xf numFmtId="14" fontId="7" fillId="0" borderId="24" xfId="48" applyNumberFormat="1" applyFill="1" applyBorder="1" applyAlignment="1">
      <alignment horizontal="right"/>
    </xf>
    <xf numFmtId="164" fontId="7" fillId="0" borderId="24" xfId="48" applyNumberFormat="1" applyFill="1" applyBorder="1" applyAlignment="1">
      <alignment horizontal="right"/>
    </xf>
    <xf numFmtId="164" fontId="7" fillId="0" borderId="24" xfId="48" applyNumberFormat="1" applyFill="1" applyBorder="1" applyAlignment="1">
      <alignment horizontal="right" wrapText="1"/>
    </xf>
    <xf numFmtId="14" fontId="10" fillId="0" borderId="24" xfId="48" applyNumberFormat="1" applyFont="1" applyFill="1" applyBorder="1" applyAlignment="1">
      <alignment horizontal="right" wrapText="1"/>
    </xf>
    <xf numFmtId="14" fontId="7" fillId="0" borderId="24" xfId="48" applyNumberFormat="1" applyFont="1" applyFill="1" applyBorder="1" applyAlignment="1">
      <alignment horizontal="right" wrapText="1"/>
    </xf>
    <xf numFmtId="14" fontId="11" fillId="0" borderId="24" xfId="48" applyNumberFormat="1" applyFont="1" applyFill="1" applyBorder="1" applyAlignment="1">
      <alignment horizontal="right" wrapText="1"/>
    </xf>
    <xf numFmtId="3" fontId="7" fillId="0" borderId="24" xfId="48" applyNumberFormat="1" applyFill="1" applyBorder="1" applyAlignment="1">
      <alignment horizontal="right"/>
    </xf>
    <xf numFmtId="0" fontId="7" fillId="0" borderId="24" xfId="48" applyFill="1" applyBorder="1" applyAlignment="1">
      <alignment horizontal="right"/>
    </xf>
    <xf numFmtId="3" fontId="0" fillId="0" borderId="24" xfId="0" applyNumberFormat="1" applyFill="1" applyBorder="1"/>
    <xf numFmtId="3" fontId="9" fillId="0" borderId="13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5" fontId="57" fillId="0" borderId="0" xfId="47" applyNumberFormat="1" applyFont="1"/>
    <xf numFmtId="3" fontId="63" fillId="0" borderId="0" xfId="0" applyNumberFormat="1" applyFont="1"/>
    <xf numFmtId="0" fontId="7" fillId="0" borderId="0" xfId="0" applyFont="1" applyAlignment="1">
      <alignment vertical="top"/>
    </xf>
    <xf numFmtId="0" fontId="20" fillId="0" borderId="0" xfId="63" applyFont="1" applyBorder="1" applyAlignment="1">
      <alignment horizontal="right"/>
    </xf>
    <xf numFmtId="164" fontId="13" fillId="0" borderId="24" xfId="71" applyNumberFormat="1" applyFont="1" applyFill="1" applyBorder="1"/>
    <xf numFmtId="164" fontId="13" fillId="0" borderId="24" xfId="71" applyNumberFormat="1" applyFont="1" applyFill="1" applyBorder="1" applyAlignment="1">
      <alignment horizontal="right"/>
    </xf>
    <xf numFmtId="164" fontId="8" fillId="0" borderId="24" xfId="71" applyNumberFormat="1" applyFont="1" applyBorder="1"/>
    <xf numFmtId="164" fontId="13" fillId="0" borderId="24" xfId="71" applyNumberFormat="1" applyFont="1" applyFill="1" applyBorder="1" applyAlignment="1">
      <alignment wrapText="1"/>
    </xf>
    <xf numFmtId="164" fontId="8" fillId="0" borderId="24" xfId="71" applyNumberFormat="1" applyFont="1" applyFill="1" applyBorder="1"/>
    <xf numFmtId="164" fontId="13" fillId="5" borderId="24" xfId="71" applyNumberFormat="1" applyFont="1" applyFill="1" applyBorder="1"/>
    <xf numFmtId="164" fontId="8" fillId="0" borderId="0" xfId="71" applyNumberFormat="1" applyFont="1" applyFill="1"/>
    <xf numFmtId="0" fontId="64" fillId="0" borderId="0" xfId="0" applyFont="1" applyAlignment="1">
      <alignment horizontal="center"/>
    </xf>
    <xf numFmtId="0" fontId="46" fillId="0" borderId="0" xfId="1" applyFont="1"/>
    <xf numFmtId="3" fontId="66" fillId="0" borderId="24" xfId="88" applyNumberFormat="1" applyFont="1" applyFill="1" applyBorder="1"/>
    <xf numFmtId="3" fontId="7" fillId="0" borderId="30" xfId="0" applyNumberFormat="1" applyFont="1" applyBorder="1" applyAlignment="1">
      <alignment horizontal="left"/>
    </xf>
    <xf numFmtId="9" fontId="7" fillId="4" borderId="24" xfId="64" applyFont="1" applyFill="1" applyBorder="1"/>
    <xf numFmtId="164" fontId="7" fillId="4" borderId="24" xfId="48" applyNumberFormat="1" applyFont="1" applyFill="1" applyBorder="1"/>
    <xf numFmtId="3" fontId="67" fillId="0" borderId="0" xfId="3" applyNumberFormat="1" applyFont="1" applyBorder="1" applyAlignment="1">
      <alignment horizontal="right"/>
    </xf>
    <xf numFmtId="0" fontId="22" fillId="0" borderId="0" xfId="63" applyFont="1" applyBorder="1" applyAlignment="1"/>
    <xf numFmtId="0" fontId="22" fillId="0" borderId="0" xfId="63" applyFont="1" applyBorder="1"/>
    <xf numFmtId="0" fontId="10" fillId="0" borderId="9" xfId="0" applyFont="1" applyBorder="1" applyAlignment="1">
      <alignment horizontal="left" wrapText="1"/>
    </xf>
    <xf numFmtId="0" fontId="10" fillId="0" borderId="17" xfId="0" applyFont="1" applyBorder="1" applyAlignment="1">
      <alignment horizontal="left" wrapText="1"/>
    </xf>
    <xf numFmtId="164" fontId="7" fillId="0" borderId="12" xfId="0" applyNumberFormat="1" applyFont="1" applyBorder="1" applyAlignment="1">
      <alignment horizontal="right"/>
    </xf>
    <xf numFmtId="164" fontId="7" fillId="0" borderId="13" xfId="0" applyNumberFormat="1" applyFont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7" fillId="0" borderId="15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13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164" fontId="6" fillId="0" borderId="8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164" fontId="7" fillId="0" borderId="10" xfId="0" applyNumberFormat="1" applyFont="1" applyFill="1" applyBorder="1" applyAlignment="1">
      <alignment horizontal="right"/>
    </xf>
    <xf numFmtId="164" fontId="7" fillId="0" borderId="16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164" fontId="7" fillId="0" borderId="14" xfId="0" applyNumberFormat="1" applyFont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20" xfId="0" applyNumberFormat="1" applyFont="1" applyBorder="1" applyAlignment="1">
      <alignment horizontal="right"/>
    </xf>
    <xf numFmtId="164" fontId="7" fillId="0" borderId="1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7" fillId="0" borderId="18" xfId="0" applyNumberFormat="1" applyFont="1" applyFill="1" applyBorder="1" applyAlignment="1">
      <alignment horizontal="right"/>
    </xf>
    <xf numFmtId="164" fontId="7" fillId="0" borderId="14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17" xfId="0" applyNumberFormat="1" applyFont="1" applyBorder="1" applyAlignment="1">
      <alignment horizontal="right"/>
    </xf>
    <xf numFmtId="0" fontId="23" fillId="0" borderId="11" xfId="0" applyFont="1" applyFill="1" applyBorder="1"/>
    <xf numFmtId="0" fontId="23" fillId="0" borderId="12" xfId="0" applyFont="1" applyFill="1" applyBorder="1"/>
    <xf numFmtId="0" fontId="45" fillId="0" borderId="10" xfId="0" quotePrefix="1" applyFont="1" applyFill="1" applyBorder="1"/>
    <xf numFmtId="0" fontId="45" fillId="0" borderId="14" xfId="0" quotePrefix="1" applyFont="1" applyFill="1" applyBorder="1"/>
    <xf numFmtId="0" fontId="10" fillId="0" borderId="11" xfId="0" applyFont="1" applyFill="1" applyBorder="1"/>
    <xf numFmtId="0" fontId="10" fillId="0" borderId="12" xfId="0" applyFont="1" applyFill="1" applyBorder="1"/>
    <xf numFmtId="0" fontId="12" fillId="0" borderId="10" xfId="0" applyFont="1" applyFill="1" applyBorder="1"/>
    <xf numFmtId="0" fontId="12" fillId="0" borderId="14" xfId="0" applyFont="1" applyFill="1" applyBorder="1"/>
    <xf numFmtId="0" fontId="10" fillId="0" borderId="11" xfId="0" applyFont="1" applyFill="1" applyBorder="1" applyAlignment="1"/>
    <xf numFmtId="0" fontId="10" fillId="0" borderId="12" xfId="0" applyFont="1" applyFill="1" applyBorder="1" applyAlignment="1"/>
    <xf numFmtId="49" fontId="45" fillId="0" borderId="14" xfId="0" quotePrefix="1" applyNumberFormat="1" applyFont="1" applyFill="1" applyBorder="1" applyAlignment="1"/>
    <xf numFmtId="49" fontId="45" fillId="0" borderId="10" xfId="0" quotePrefix="1" applyNumberFormat="1" applyFont="1" applyFill="1" applyBorder="1" applyAlignment="1"/>
    <xf numFmtId="0" fontId="6" fillId="0" borderId="0" xfId="89" applyFont="1"/>
    <xf numFmtId="0" fontId="6" fillId="0" borderId="0" xfId="89" applyFont="1" applyFill="1"/>
    <xf numFmtId="0" fontId="7" fillId="0" borderId="0" xfId="89" applyFill="1"/>
    <xf numFmtId="0" fontId="7" fillId="0" borderId="0" xfId="89"/>
    <xf numFmtId="0" fontId="7" fillId="0" borderId="0" xfId="89" applyFont="1"/>
    <xf numFmtId="0" fontId="6" fillId="0" borderId="0" xfId="90" applyFont="1" applyFill="1" applyAlignment="1">
      <alignment horizontal="center"/>
    </xf>
    <xf numFmtId="0" fontId="6" fillId="0" borderId="0" xfId="89" applyFont="1" applyFill="1" applyAlignment="1">
      <alignment horizontal="right"/>
    </xf>
    <xf numFmtId="0" fontId="6" fillId="0" borderId="0" xfId="89" applyFont="1" applyAlignment="1">
      <alignment horizontal="center" vertical="center"/>
    </xf>
    <xf numFmtId="0" fontId="6" fillId="0" borderId="24" xfId="89" applyFont="1" applyFill="1" applyBorder="1" applyAlignment="1">
      <alignment horizontal="center" vertical="center"/>
    </xf>
    <xf numFmtId="0" fontId="6" fillId="0" borderId="24" xfId="89" applyFont="1" applyBorder="1" applyAlignment="1">
      <alignment horizontal="center" vertical="center" wrapText="1"/>
    </xf>
    <xf numFmtId="0" fontId="7" fillId="0" borderId="53" xfId="89" applyFont="1" applyBorder="1"/>
    <xf numFmtId="49" fontId="7" fillId="0" borderId="24" xfId="89" applyNumberFormat="1" applyFont="1" applyBorder="1" applyAlignment="1">
      <alignment wrapText="1"/>
    </xf>
    <xf numFmtId="0" fontId="7" fillId="0" borderId="21" xfId="89" applyFont="1" applyBorder="1"/>
    <xf numFmtId="49" fontId="7" fillId="0" borderId="24" xfId="89" applyNumberFormat="1" applyFont="1" applyBorder="1" applyAlignment="1">
      <alignment horizontal="left" vertical="center" wrapText="1"/>
    </xf>
    <xf numFmtId="49" fontId="6" fillId="0" borderId="24" xfId="89" applyNumberFormat="1" applyFont="1" applyBorder="1" applyAlignment="1">
      <alignment wrapText="1"/>
    </xf>
    <xf numFmtId="0" fontId="7" fillId="31" borderId="21" xfId="89" applyFont="1" applyFill="1" applyBorder="1"/>
    <xf numFmtId="49" fontId="7" fillId="0" borderId="24" xfId="89" applyNumberFormat="1" applyFont="1" applyFill="1" applyBorder="1" applyAlignment="1">
      <alignment wrapText="1"/>
    </xf>
    <xf numFmtId="49" fontId="7" fillId="0" borderId="24" xfId="89" applyNumberFormat="1" applyFont="1" applyFill="1" applyBorder="1"/>
    <xf numFmtId="49" fontId="7" fillId="4" borderId="24" xfId="89" applyNumberFormat="1" applyFont="1" applyFill="1" applyBorder="1" applyAlignment="1">
      <alignment wrapText="1"/>
    </xf>
    <xf numFmtId="164" fontId="13" fillId="4" borderId="24" xfId="71" applyNumberFormat="1" applyFont="1" applyFill="1" applyBorder="1"/>
    <xf numFmtId="49" fontId="6" fillId="0" borderId="24" xfId="89" applyNumberFormat="1" applyFont="1" applyFill="1" applyBorder="1" applyAlignment="1">
      <alignment wrapText="1"/>
    </xf>
    <xf numFmtId="0" fontId="7" fillId="32" borderId="21" xfId="89" applyFont="1" applyFill="1" applyBorder="1"/>
    <xf numFmtId="49" fontId="7" fillId="38" borderId="24" xfId="89" applyNumberFormat="1" applyFont="1" applyFill="1" applyBorder="1" applyAlignment="1">
      <alignment wrapText="1"/>
    </xf>
    <xf numFmtId="164" fontId="13" fillId="38" borderId="24" xfId="71" applyNumberFormat="1" applyFont="1" applyFill="1" applyBorder="1" applyAlignment="1">
      <alignment wrapText="1"/>
    </xf>
    <xf numFmtId="164" fontId="13" fillId="38" borderId="24" xfId="71" applyNumberFormat="1" applyFont="1" applyFill="1" applyBorder="1"/>
    <xf numFmtId="0" fontId="7" fillId="32" borderId="23" xfId="89" applyFont="1" applyFill="1" applyBorder="1"/>
    <xf numFmtId="0" fontId="7" fillId="32" borderId="54" xfId="89" applyFont="1" applyFill="1" applyBorder="1"/>
    <xf numFmtId="164" fontId="13" fillId="4" borderId="24" xfId="71" applyNumberFormat="1" applyFont="1" applyFill="1" applyBorder="1" applyAlignment="1">
      <alignment wrapText="1"/>
    </xf>
    <xf numFmtId="0" fontId="7" fillId="32" borderId="55" xfId="89" applyFont="1" applyFill="1" applyBorder="1"/>
    <xf numFmtId="0" fontId="7" fillId="0" borderId="14" xfId="89" applyFont="1" applyBorder="1"/>
    <xf numFmtId="49" fontId="7" fillId="5" borderId="24" xfId="89" applyNumberFormat="1" applyFont="1" applyFill="1" applyBorder="1" applyAlignment="1">
      <alignment wrapText="1"/>
    </xf>
    <xf numFmtId="0" fontId="7" fillId="4" borderId="21" xfId="89" applyFont="1" applyFill="1" applyBorder="1"/>
    <xf numFmtId="0" fontId="7" fillId="4" borderId="0" xfId="89" applyFill="1"/>
    <xf numFmtId="49" fontId="25" fillId="28" borderId="24" xfId="89" applyNumberFormat="1" applyFont="1" applyFill="1" applyBorder="1"/>
    <xf numFmtId="164" fontId="60" fillId="28" borderId="24" xfId="71" applyNumberFormat="1" applyFont="1" applyFill="1" applyBorder="1"/>
    <xf numFmtId="0" fontId="7" fillId="0" borderId="56" xfId="89" applyFont="1" applyBorder="1"/>
    <xf numFmtId="0" fontId="6" fillId="0" borderId="24" xfId="89" applyFont="1" applyFill="1" applyBorder="1" applyAlignment="1">
      <alignment wrapText="1"/>
    </xf>
    <xf numFmtId="0" fontId="6" fillId="0" borderId="0" xfId="89" applyFont="1" applyFill="1" applyBorder="1"/>
    <xf numFmtId="164" fontId="6" fillId="0" borderId="0" xfId="89" applyNumberFormat="1" applyFont="1" applyBorder="1"/>
    <xf numFmtId="164" fontId="6" fillId="0" borderId="0" xfId="89" applyNumberFormat="1" applyFont="1"/>
    <xf numFmtId="0" fontId="7" fillId="0" borderId="14" xfId="89" applyFill="1" applyBorder="1"/>
    <xf numFmtId="0" fontId="7" fillId="0" borderId="14" xfId="89" applyFill="1" applyBorder="1" applyAlignment="1">
      <alignment wrapText="1"/>
    </xf>
    <xf numFmtId="164" fontId="7" fillId="0" borderId="14" xfId="89" applyNumberFormat="1" applyFill="1" applyBorder="1"/>
    <xf numFmtId="164" fontId="64" fillId="0" borderId="14" xfId="89" applyNumberFormat="1" applyFont="1" applyFill="1" applyBorder="1"/>
    <xf numFmtId="164" fontId="6" fillId="0" borderId="14" xfId="89" applyNumberFormat="1" applyFont="1" applyFill="1" applyBorder="1"/>
    <xf numFmtId="0" fontId="15" fillId="0" borderId="0" xfId="91"/>
    <xf numFmtId="0" fontId="15" fillId="0" borderId="0" xfId="91" applyFont="1"/>
    <xf numFmtId="0" fontId="23" fillId="0" borderId="1" xfId="91" applyFont="1" applyBorder="1" applyAlignment="1">
      <alignment vertical="center"/>
    </xf>
    <xf numFmtId="0" fontId="18" fillId="0" borderId="1" xfId="91" applyFont="1" applyBorder="1" applyAlignment="1">
      <alignment horizontal="center" vertical="center" wrapText="1"/>
    </xf>
    <xf numFmtId="0" fontId="45" fillId="33" borderId="1" xfId="91" applyFont="1" applyFill="1" applyBorder="1" applyAlignment="1">
      <alignment vertical="center"/>
    </xf>
    <xf numFmtId="0" fontId="45" fillId="0" borderId="1" xfId="91" applyFont="1" applyBorder="1" applyAlignment="1">
      <alignment vertical="center" wrapText="1"/>
    </xf>
    <xf numFmtId="0" fontId="23" fillId="0" borderId="1" xfId="91" applyFont="1" applyBorder="1" applyAlignment="1">
      <alignment vertical="center" wrapText="1"/>
    </xf>
    <xf numFmtId="0" fontId="45" fillId="34" borderId="1" xfId="91" applyFont="1" applyFill="1" applyBorder="1" applyAlignment="1">
      <alignment vertical="center" wrapText="1"/>
    </xf>
    <xf numFmtId="0" fontId="61" fillId="0" borderId="1" xfId="91" applyFont="1" applyBorder="1" applyAlignment="1">
      <alignment vertical="center"/>
    </xf>
    <xf numFmtId="0" fontId="23" fillId="4" borderId="1" xfId="91" applyFont="1" applyFill="1" applyBorder="1" applyAlignment="1">
      <alignment vertical="center" wrapText="1"/>
    </xf>
    <xf numFmtId="0" fontId="0" fillId="0" borderId="0" xfId="91" applyFont="1" applyAlignment="1">
      <alignment wrapText="1"/>
    </xf>
    <xf numFmtId="0" fontId="0" fillId="0" borderId="0" xfId="91" applyFont="1"/>
    <xf numFmtId="0" fontId="45" fillId="0" borderId="1" xfId="91" applyFont="1" applyFill="1" applyBorder="1" applyAlignment="1">
      <alignment vertical="center" wrapText="1"/>
    </xf>
    <xf numFmtId="0" fontId="62" fillId="0" borderId="1" xfId="91" applyFont="1" applyBorder="1" applyAlignment="1">
      <alignment wrapText="1"/>
    </xf>
    <xf numFmtId="0" fontId="62" fillId="0" borderId="1" xfId="91" applyFont="1" applyBorder="1" applyAlignment="1">
      <alignment horizontal="left" vertical="center"/>
    </xf>
    <xf numFmtId="0" fontId="6" fillId="0" borderId="0" xfId="91" applyFont="1"/>
    <xf numFmtId="0" fontId="22" fillId="0" borderId="0" xfId="90" applyFont="1" applyAlignment="1">
      <alignment horizontal="center" vertical="center" wrapText="1"/>
    </xf>
    <xf numFmtId="0" fontId="14" fillId="4" borderId="2" xfId="1" applyFont="1" applyFill="1" applyBorder="1"/>
    <xf numFmtId="0" fontId="7" fillId="4" borderId="2" xfId="1" applyFont="1" applyFill="1" applyBorder="1"/>
    <xf numFmtId="0" fontId="54" fillId="0" borderId="24" xfId="48" applyFont="1" applyFill="1" applyBorder="1" applyAlignment="1">
      <alignment horizontal="left"/>
    </xf>
    <xf numFmtId="0" fontId="55" fillId="0" borderId="25" xfId="0" applyFont="1" applyFill="1" applyBorder="1" applyAlignment="1">
      <alignment horizontal="center" vertical="center" wrapText="1"/>
    </xf>
    <xf numFmtId="6" fontId="7" fillId="0" borderId="0" xfId="48" applyNumberFormat="1" applyFont="1" applyFill="1"/>
    <xf numFmtId="6" fontId="18" fillId="0" borderId="0" xfId="0" applyNumberFormat="1" applyFont="1" applyFill="1" applyAlignment="1">
      <alignment wrapText="1"/>
    </xf>
    <xf numFmtId="0" fontId="18" fillId="0" borderId="24" xfId="0" applyFont="1" applyBorder="1"/>
    <xf numFmtId="0" fontId="18" fillId="0" borderId="24" xfId="0" applyFont="1" applyFill="1" applyBorder="1"/>
    <xf numFmtId="6" fontId="18" fillId="0" borderId="24" xfId="0" applyNumberFormat="1" applyFont="1" applyFill="1" applyBorder="1" applyAlignment="1">
      <alignment wrapText="1"/>
    </xf>
    <xf numFmtId="9" fontId="18" fillId="0" borderId="24" xfId="0" applyNumberFormat="1" applyFont="1" applyFill="1" applyBorder="1" applyAlignment="1">
      <alignment wrapText="1"/>
    </xf>
    <xf numFmtId="0" fontId="18" fillId="0" borderId="24" xfId="0" applyFont="1" applyFill="1" applyBorder="1" applyAlignment="1">
      <alignment wrapText="1"/>
    </xf>
    <xf numFmtId="6" fontId="18" fillId="0" borderId="25" xfId="0" applyNumberFormat="1" applyFont="1" applyFill="1" applyBorder="1" applyAlignment="1">
      <alignment wrapText="1"/>
    </xf>
    <xf numFmtId="0" fontId="3" fillId="4" borderId="24" xfId="77" applyFill="1" applyBorder="1" applyAlignment="1">
      <alignment wrapText="1"/>
    </xf>
    <xf numFmtId="0" fontId="23" fillId="0" borderId="24" xfId="77" applyFont="1" applyBorder="1" applyAlignment="1">
      <alignment horizontal="justify" vertical="center"/>
    </xf>
    <xf numFmtId="6" fontId="18" fillId="4" borderId="24" xfId="0" applyNumberFormat="1" applyFont="1" applyFill="1" applyBorder="1" applyAlignment="1">
      <alignment wrapText="1"/>
    </xf>
    <xf numFmtId="0" fontId="15" fillId="0" borderId="24" xfId="0" applyFont="1" applyFill="1" applyBorder="1" applyAlignment="1">
      <alignment wrapText="1"/>
    </xf>
    <xf numFmtId="0" fontId="18" fillId="4" borderId="24" xfId="0" applyFont="1" applyFill="1" applyBorder="1" applyAlignment="1">
      <alignment horizontal="center" wrapText="1"/>
    </xf>
    <xf numFmtId="0" fontId="18" fillId="4" borderId="24" xfId="0" applyFont="1" applyFill="1" applyBorder="1"/>
    <xf numFmtId="6" fontId="7" fillId="4" borderId="24" xfId="48" applyNumberFormat="1" applyFont="1" applyFill="1" applyBorder="1"/>
    <xf numFmtId="0" fontId="23" fillId="4" borderId="24" xfId="77" applyFont="1" applyFill="1" applyBorder="1" applyAlignment="1">
      <alignment wrapText="1"/>
    </xf>
    <xf numFmtId="0" fontId="18" fillId="0" borderId="24" xfId="0" applyFont="1" applyFill="1" applyBorder="1" applyAlignment="1">
      <alignment horizontal="left" wrapText="1"/>
    </xf>
    <xf numFmtId="0" fontId="6" fillId="4" borderId="0" xfId="48" applyFont="1" applyFill="1" applyAlignment="1">
      <alignment horizontal="center"/>
    </xf>
    <xf numFmtId="6" fontId="18" fillId="4" borderId="0" xfId="0" applyNumberFormat="1" applyFont="1" applyFill="1" applyAlignment="1">
      <alignment wrapText="1"/>
    </xf>
    <xf numFmtId="0" fontId="6" fillId="0" borderId="24" xfId="48" applyFont="1" applyBorder="1"/>
    <xf numFmtId="0" fontId="7" fillId="0" borderId="24" xfId="48" applyFont="1" applyFill="1" applyBorder="1" applyAlignment="1">
      <alignment wrapText="1"/>
    </xf>
    <xf numFmtId="0" fontId="7" fillId="0" borderId="24" xfId="48" applyFont="1" applyFill="1" applyBorder="1"/>
    <xf numFmtId="3" fontId="6" fillId="0" borderId="24" xfId="48" applyNumberFormat="1" applyFont="1" applyFill="1" applyBorder="1"/>
    <xf numFmtId="0" fontId="6" fillId="0" borderId="24" xfId="48" applyFont="1" applyFill="1" applyBorder="1"/>
    <xf numFmtId="0" fontId="14" fillId="0" borderId="4" xfId="1" quotePrefix="1" applyFont="1" applyFill="1" applyBorder="1"/>
    <xf numFmtId="0" fontId="57" fillId="0" borderId="0" xfId="1" applyFont="1"/>
    <xf numFmtId="0" fontId="69" fillId="0" borderId="0" xfId="1" applyFont="1" applyBorder="1" applyAlignment="1">
      <alignment horizontal="center"/>
    </xf>
    <xf numFmtId="0" fontId="69" fillId="0" borderId="0" xfId="1" applyFont="1" applyBorder="1"/>
    <xf numFmtId="0" fontId="57" fillId="0" borderId="0" xfId="1" applyFont="1" applyBorder="1"/>
    <xf numFmtId="3" fontId="9" fillId="0" borderId="13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0" fontId="9" fillId="28" borderId="11" xfId="0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7" fillId="0" borderId="1" xfId="0" applyFont="1" applyBorder="1"/>
    <xf numFmtId="0" fontId="6" fillId="37" borderId="1" xfId="0" applyFont="1" applyFill="1" applyBorder="1"/>
    <xf numFmtId="3" fontId="6" fillId="37" borderId="1" xfId="0" applyNumberFormat="1" applyFont="1" applyFill="1" applyBorder="1"/>
    <xf numFmtId="0" fontId="63" fillId="0" borderId="0" xfId="0" applyFont="1" applyFill="1" applyBorder="1"/>
    <xf numFmtId="165" fontId="57" fillId="0" borderId="0" xfId="0" applyNumberFormat="1" applyFont="1" applyFill="1"/>
    <xf numFmtId="3" fontId="57" fillId="4" borderId="0" xfId="0" applyNumberFormat="1" applyFont="1" applyFill="1"/>
    <xf numFmtId="0" fontId="7" fillId="0" borderId="0" xfId="48" applyFont="1" applyFill="1" applyAlignment="1"/>
    <xf numFmtId="0" fontId="6" fillId="0" borderId="0" xfId="48" applyFont="1" applyFill="1" applyAlignment="1"/>
    <xf numFmtId="0" fontId="18" fillId="0" borderId="28" xfId="0" applyFont="1" applyFill="1" applyBorder="1" applyAlignment="1">
      <alignment horizontal="center"/>
    </xf>
    <xf numFmtId="0" fontId="14" fillId="0" borderId="24" xfId="77" applyFont="1" applyBorder="1" applyAlignment="1">
      <alignment horizontal="justify" vertical="center"/>
    </xf>
    <xf numFmtId="0" fontId="68" fillId="0" borderId="24" xfId="77" applyFont="1" applyBorder="1" applyAlignment="1">
      <alignment horizontal="justify" vertical="center"/>
    </xf>
    <xf numFmtId="0" fontId="68" fillId="0" borderId="24" xfId="77" applyFont="1" applyFill="1" applyBorder="1" applyAlignment="1">
      <alignment horizontal="justify" vertical="center"/>
    </xf>
    <xf numFmtId="0" fontId="7" fillId="0" borderId="0" xfId="48" applyFont="1" applyAlignment="1"/>
    <xf numFmtId="0" fontId="7" fillId="0" borderId="0" xfId="48" applyAlignment="1"/>
    <xf numFmtId="164" fontId="50" fillId="0" borderId="24" xfId="63" applyNumberFormat="1" applyFont="1" applyBorder="1"/>
    <xf numFmtId="0" fontId="20" fillId="0" borderId="24" xfId="63" applyFont="1" applyBorder="1" applyAlignment="1">
      <alignment horizontal="center"/>
    </xf>
    <xf numFmtId="164" fontId="50" fillId="0" borderId="25" xfId="63" applyNumberFormat="1" applyFont="1" applyBorder="1"/>
    <xf numFmtId="164" fontId="49" fillId="0" borderId="24" xfId="63" applyNumberFormat="1" applyFont="1" applyBorder="1"/>
    <xf numFmtId="164" fontId="14" fillId="0" borderId="24" xfId="63" applyNumberFormat="1" applyFont="1" applyBorder="1"/>
    <xf numFmtId="0" fontId="20" fillId="0" borderId="58" xfId="63" applyFont="1" applyBorder="1"/>
    <xf numFmtId="0" fontId="20" fillId="0" borderId="59" xfId="63" applyFont="1" applyBorder="1"/>
    <xf numFmtId="0" fontId="20" fillId="0" borderId="60" xfId="63" applyFont="1" applyBorder="1"/>
    <xf numFmtId="0" fontId="70" fillId="0" borderId="0" xfId="76" applyFont="1" applyAlignment="1">
      <alignment wrapText="1"/>
    </xf>
    <xf numFmtId="0" fontId="53" fillId="0" borderId="0" xfId="48" applyFont="1" applyFill="1" applyBorder="1" applyAlignment="1">
      <alignment horizontal="left" wrapText="1"/>
    </xf>
    <xf numFmtId="165" fontId="57" fillId="0" borderId="0" xfId="0" applyNumberFormat="1" applyFont="1"/>
    <xf numFmtId="0" fontId="22" fillId="0" borderId="0" xfId="63" applyFont="1" applyBorder="1" applyAlignment="1">
      <alignment horizontal="right"/>
    </xf>
    <xf numFmtId="0" fontId="12" fillId="0" borderId="8" xfId="0" applyFont="1" applyBorder="1" applyAlignment="1">
      <alignment horizontal="center" vertical="center" wrapText="1"/>
    </xf>
    <xf numFmtId="0" fontId="6" fillId="28" borderId="18" xfId="0" applyFont="1" applyFill="1" applyBorder="1"/>
    <xf numFmtId="0" fontId="6" fillId="28" borderId="19" xfId="0" applyFont="1" applyFill="1" applyBorder="1"/>
    <xf numFmtId="3" fontId="13" fillId="28" borderId="13" xfId="0" applyNumberFormat="1" applyFont="1" applyFill="1" applyBorder="1"/>
    <xf numFmtId="3" fontId="13" fillId="28" borderId="8" xfId="0" applyNumberFormat="1" applyFont="1" applyFill="1" applyBorder="1"/>
    <xf numFmtId="3" fontId="13" fillId="28" borderId="7" xfId="0" applyNumberFormat="1" applyFont="1" applyFill="1" applyBorder="1"/>
    <xf numFmtId="164" fontId="6" fillId="28" borderId="13" xfId="0" applyNumberFormat="1" applyFont="1" applyFill="1" applyBorder="1" applyAlignment="1">
      <alignment horizontal="right"/>
    </xf>
    <xf numFmtId="164" fontId="6" fillId="28" borderId="8" xfId="0" applyNumberFormat="1" applyFont="1" applyFill="1" applyBorder="1" applyAlignment="1">
      <alignment horizontal="right"/>
    </xf>
    <xf numFmtId="164" fontId="6" fillId="28" borderId="7" xfId="0" applyNumberFormat="1" applyFont="1" applyFill="1" applyBorder="1" applyAlignment="1">
      <alignment horizontal="right"/>
    </xf>
    <xf numFmtId="3" fontId="6" fillId="28" borderId="8" xfId="0" applyNumberFormat="1" applyFont="1" applyFill="1" applyBorder="1" applyAlignment="1">
      <alignment horizontal="right"/>
    </xf>
    <xf numFmtId="3" fontId="6" fillId="28" borderId="7" xfId="0" applyNumberFormat="1" applyFont="1" applyFill="1" applyBorder="1" applyAlignment="1">
      <alignment horizontal="right"/>
    </xf>
    <xf numFmtId="3" fontId="7" fillId="0" borderId="11" xfId="0" applyNumberFormat="1" applyFont="1" applyBorder="1" applyAlignment="1">
      <alignment horizontal="right"/>
    </xf>
    <xf numFmtId="3" fontId="24" fillId="28" borderId="8" xfId="0" applyNumberFormat="1" applyFont="1" applyFill="1" applyBorder="1"/>
    <xf numFmtId="3" fontId="25" fillId="28" borderId="8" xfId="0" applyNumberFormat="1" applyFont="1" applyFill="1" applyBorder="1"/>
    <xf numFmtId="3" fontId="25" fillId="28" borderId="7" xfId="0" applyNumberFormat="1" applyFont="1" applyFill="1" applyBorder="1"/>
    <xf numFmtId="3" fontId="24" fillId="28" borderId="7" xfId="0" applyNumberFormat="1" applyFont="1" applyFill="1" applyBorder="1"/>
    <xf numFmtId="1" fontId="7" fillId="0" borderId="8" xfId="47" applyNumberFormat="1" applyFont="1" applyBorder="1" applyAlignment="1"/>
    <xf numFmtId="3" fontId="7" fillId="0" borderId="0" xfId="0" applyNumberFormat="1" applyFont="1" applyBorder="1" applyAlignment="1">
      <alignment horizontal="right"/>
    </xf>
    <xf numFmtId="164" fontId="6" fillId="28" borderId="1" xfId="0" applyNumberFormat="1" applyFont="1" applyFill="1" applyBorder="1"/>
    <xf numFmtId="164" fontId="6" fillId="0" borderId="1" xfId="0" applyNumberFormat="1" applyFont="1" applyFill="1" applyBorder="1"/>
    <xf numFmtId="164" fontId="7" fillId="0" borderId="1" xfId="0" applyNumberFormat="1" applyFont="1" applyFill="1" applyBorder="1"/>
    <xf numFmtId="0" fontId="9" fillId="28" borderId="1" xfId="0" applyFont="1" applyFill="1" applyBorder="1"/>
    <xf numFmtId="3" fontId="69" fillId="0" borderId="0" xfId="0" applyNumberFormat="1" applyFont="1" applyFill="1" applyBorder="1"/>
    <xf numFmtId="164" fontId="6" fillId="0" borderId="1" xfId="0" applyNumberFormat="1" applyFont="1" applyBorder="1" applyAlignment="1">
      <alignment horizontal="right"/>
    </xf>
    <xf numFmtId="164" fontId="6" fillId="28" borderId="1" xfId="0" applyNumberFormat="1" applyFont="1" applyFill="1" applyBorder="1" applyAlignment="1">
      <alignment horizontal="right"/>
    </xf>
    <xf numFmtId="0" fontId="0" fillId="0" borderId="13" xfId="0" applyBorder="1" applyAlignment="1">
      <alignment wrapText="1"/>
    </xf>
    <xf numFmtId="3" fontId="7" fillId="0" borderId="6" xfId="0" applyNumberFormat="1" applyFont="1" applyFill="1" applyBorder="1"/>
    <xf numFmtId="0" fontId="7" fillId="0" borderId="2" xfId="0" applyFont="1" applyBorder="1" applyAlignment="1"/>
    <xf numFmtId="3" fontId="7" fillId="0" borderId="53" xfId="0" applyNumberFormat="1" applyFont="1" applyBorder="1"/>
    <xf numFmtId="0" fontId="7" fillId="0" borderId="23" xfId="0" applyFont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91" applyFont="1" applyAlignment="1">
      <alignment horizontal="center"/>
    </xf>
    <xf numFmtId="0" fontId="9" fillId="28" borderId="1" xfId="0" applyFont="1" applyFill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0" fillId="0" borderId="4" xfId="0" applyBorder="1"/>
    <xf numFmtId="0" fontId="6" fillId="0" borderId="13" xfId="0" applyFont="1" applyBorder="1"/>
    <xf numFmtId="3" fontId="6" fillId="0" borderId="13" xfId="0" applyNumberFormat="1" applyFont="1" applyBorder="1"/>
    <xf numFmtId="3" fontId="0" fillId="0" borderId="19" xfId="0" applyNumberFormat="1" applyBorder="1"/>
    <xf numFmtId="0" fontId="0" fillId="0" borderId="11" xfId="0" applyBorder="1"/>
    <xf numFmtId="0" fontId="0" fillId="0" borderId="18" xfId="0" applyBorder="1"/>
    <xf numFmtId="0" fontId="0" fillId="0" borderId="19" xfId="0" applyBorder="1"/>
    <xf numFmtId="0" fontId="0" fillId="0" borderId="1" xfId="0" applyBorder="1" applyAlignment="1">
      <alignment horizontal="center" vertical="center" wrapText="1"/>
    </xf>
    <xf numFmtId="0" fontId="10" fillId="0" borderId="20" xfId="0" applyFont="1" applyBorder="1" applyAlignment="1">
      <alignment horizontal="left" wrapText="1"/>
    </xf>
    <xf numFmtId="0" fontId="10" fillId="0" borderId="12" xfId="0" applyFont="1" applyBorder="1" applyAlignment="1">
      <alignment horizontal="left"/>
    </xf>
    <xf numFmtId="0" fontId="10" fillId="0" borderId="9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9" fillId="0" borderId="9" xfId="0" applyFont="1" applyFill="1" applyBorder="1" applyAlignment="1">
      <alignment wrapText="1"/>
    </xf>
    <xf numFmtId="0" fontId="10" fillId="0" borderId="17" xfId="0" applyFont="1" applyFill="1" applyBorder="1" applyAlignment="1">
      <alignment wrapText="1"/>
    </xf>
    <xf numFmtId="0" fontId="10" fillId="0" borderId="9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0" fillId="0" borderId="0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9" fillId="28" borderId="1" xfId="0" applyFont="1" applyFill="1" applyBorder="1" applyAlignment="1"/>
    <xf numFmtId="0" fontId="8" fillId="0" borderId="1" xfId="0" applyFont="1" applyBorder="1"/>
    <xf numFmtId="3" fontId="8" fillId="0" borderId="1" xfId="0" applyNumberFormat="1" applyFont="1" applyBorder="1"/>
    <xf numFmtId="0" fontId="13" fillId="0" borderId="1" xfId="0" applyFont="1" applyBorder="1"/>
    <xf numFmtId="164" fontId="13" fillId="0" borderId="1" xfId="0" applyNumberFormat="1" applyFont="1" applyBorder="1"/>
    <xf numFmtId="164" fontId="8" fillId="0" borderId="1" xfId="0" applyNumberFormat="1" applyFont="1" applyBorder="1"/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/>
    <xf numFmtId="0" fontId="6" fillId="0" borderId="1" xfId="0" applyFont="1" applyBorder="1" applyAlignment="1"/>
    <xf numFmtId="3" fontId="7" fillId="0" borderId="15" xfId="0" applyNumberFormat="1" applyFont="1" applyFill="1" applyBorder="1" applyAlignment="1">
      <alignment horizontal="right" vertical="center" wrapText="1"/>
    </xf>
    <xf numFmtId="165" fontId="7" fillId="0" borderId="8" xfId="47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49" fontId="23" fillId="0" borderId="14" xfId="0" applyNumberFormat="1" applyFont="1" applyBorder="1" applyAlignment="1">
      <alignment wrapText="1"/>
    </xf>
    <xf numFmtId="49" fontId="23" fillId="0" borderId="0" xfId="0" applyNumberFormat="1" applyFont="1" applyBorder="1" applyAlignment="1">
      <alignment wrapText="1"/>
    </xf>
    <xf numFmtId="49" fontId="23" fillId="0" borderId="15" xfId="0" applyNumberFormat="1" applyFont="1" applyBorder="1" applyAlignment="1">
      <alignment wrapText="1"/>
    </xf>
    <xf numFmtId="49" fontId="23" fillId="0" borderId="61" xfId="0" applyNumberFormat="1" applyFont="1" applyBorder="1" applyAlignment="1">
      <alignment horizontal="left" wrapText="1"/>
    </xf>
    <xf numFmtId="49" fontId="23" fillId="0" borderId="62" xfId="0" applyNumberFormat="1" applyFont="1" applyBorder="1" applyAlignment="1">
      <alignment horizontal="left" wrapText="1"/>
    </xf>
    <xf numFmtId="49" fontId="23" fillId="0" borderId="63" xfId="0" applyNumberFormat="1" applyFont="1" applyBorder="1" applyAlignment="1">
      <alignment horizontal="left" wrapText="1"/>
    </xf>
    <xf numFmtId="3" fontId="7" fillId="0" borderId="63" xfId="0" applyNumberFormat="1" applyFont="1" applyFill="1" applyBorder="1" applyAlignment="1">
      <alignment horizontal="right" vertical="center" wrapText="1"/>
    </xf>
    <xf numFmtId="165" fontId="7" fillId="0" borderId="64" xfId="47" applyNumberFormat="1" applyFont="1" applyFill="1" applyBorder="1" applyAlignment="1">
      <alignment horizontal="right" vertical="center" wrapText="1"/>
    </xf>
    <xf numFmtId="0" fontId="6" fillId="0" borderId="64" xfId="0" applyFont="1" applyFill="1" applyBorder="1" applyAlignment="1">
      <alignment horizontal="right" vertical="center" wrapText="1"/>
    </xf>
    <xf numFmtId="3" fontId="7" fillId="0" borderId="62" xfId="0" applyNumberFormat="1" applyFont="1" applyFill="1" applyBorder="1" applyAlignment="1">
      <alignment horizontal="right" vertical="center" wrapText="1"/>
    </xf>
    <xf numFmtId="0" fontId="23" fillId="0" borderId="14" xfId="0" quotePrefix="1" applyFont="1" applyBorder="1" applyAlignment="1"/>
    <xf numFmtId="0" fontId="23" fillId="0" borderId="0" xfId="0" applyFont="1" applyFill="1" applyBorder="1" applyAlignment="1"/>
    <xf numFmtId="0" fontId="23" fillId="0" borderId="15" xfId="0" applyFont="1" applyFill="1" applyBorder="1" applyAlignment="1"/>
    <xf numFmtId="0" fontId="23" fillId="0" borderId="61" xfId="0" quotePrefix="1" applyFont="1" applyBorder="1" applyAlignment="1"/>
    <xf numFmtId="0" fontId="23" fillId="0" borderId="62" xfId="0" applyFont="1" applyFill="1" applyBorder="1" applyAlignment="1"/>
    <xf numFmtId="0" fontId="23" fillId="0" borderId="63" xfId="0" applyFont="1" applyFill="1" applyBorder="1" applyAlignment="1"/>
    <xf numFmtId="3" fontId="13" fillId="0" borderId="64" xfId="0" applyNumberFormat="1" applyFont="1" applyFill="1" applyBorder="1"/>
    <xf numFmtId="3" fontId="13" fillId="0" borderId="63" xfId="0" applyNumberFormat="1" applyFont="1" applyFill="1" applyBorder="1"/>
    <xf numFmtId="0" fontId="23" fillId="0" borderId="61" xfId="0" quotePrefix="1" applyFont="1" applyFill="1" applyBorder="1"/>
    <xf numFmtId="0" fontId="23" fillId="0" borderId="62" xfId="0" applyFont="1" applyFill="1" applyBorder="1"/>
    <xf numFmtId="0" fontId="23" fillId="0" borderId="63" xfId="0" applyFont="1" applyFill="1" applyBorder="1"/>
    <xf numFmtId="0" fontId="7" fillId="0" borderId="15" xfId="0" applyFont="1" applyFill="1" applyBorder="1"/>
    <xf numFmtId="0" fontId="11" fillId="0" borderId="61" xfId="0" quotePrefix="1" applyFont="1" applyFill="1" applyBorder="1"/>
    <xf numFmtId="0" fontId="9" fillId="0" borderId="62" xfId="0" applyFont="1" applyFill="1" applyBorder="1"/>
    <xf numFmtId="0" fontId="7" fillId="0" borderId="63" xfId="0" applyFont="1" applyFill="1" applyBorder="1"/>
    <xf numFmtId="0" fontId="10" fillId="0" borderId="62" xfId="0" applyFont="1" applyFill="1" applyBorder="1"/>
    <xf numFmtId="0" fontId="11" fillId="0" borderId="61" xfId="0" quotePrefix="1" applyFont="1" applyFill="1" applyBorder="1" applyAlignment="1">
      <alignment horizontal="left" wrapText="1"/>
    </xf>
    <xf numFmtId="0" fontId="11" fillId="0" borderId="62" xfId="0" applyFont="1" applyFill="1" applyBorder="1" applyAlignment="1">
      <alignment horizontal="left" wrapText="1"/>
    </xf>
    <xf numFmtId="0" fontId="11" fillId="0" borderId="14" xfId="0" quotePrefix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49" fontId="23" fillId="0" borderId="61" xfId="0" quotePrefix="1" applyNumberFormat="1" applyFont="1" applyFill="1" applyBorder="1" applyAlignment="1"/>
    <xf numFmtId="0" fontId="10" fillId="0" borderId="62" xfId="0" applyFont="1" applyFill="1" applyBorder="1" applyAlignment="1"/>
    <xf numFmtId="49" fontId="23" fillId="0" borderId="61" xfId="0" quotePrefix="1" applyNumberFormat="1" applyFont="1" applyFill="1" applyBorder="1"/>
    <xf numFmtId="0" fontId="6" fillId="0" borderId="61" xfId="0" quotePrefix="1" applyFont="1" applyFill="1" applyBorder="1" applyAlignment="1">
      <alignment horizontal="left" wrapText="1"/>
    </xf>
    <xf numFmtId="0" fontId="6" fillId="0" borderId="62" xfId="0" quotePrefix="1" applyFont="1" applyFill="1" applyBorder="1" applyAlignment="1">
      <alignment horizontal="left" wrapText="1"/>
    </xf>
    <xf numFmtId="3" fontId="13" fillId="0" borderId="62" xfId="0" applyNumberFormat="1" applyFont="1" applyFill="1" applyBorder="1"/>
    <xf numFmtId="0" fontId="7" fillId="0" borderId="61" xfId="0" applyFont="1" applyFill="1" applyBorder="1"/>
    <xf numFmtId="0" fontId="7" fillId="0" borderId="61" xfId="0" quotePrefix="1" applyFont="1" applyFill="1" applyBorder="1" applyAlignment="1">
      <alignment horizontal="left"/>
    </xf>
    <xf numFmtId="0" fontId="7" fillId="0" borderId="62" xfId="0" quotePrefix="1" applyFont="1" applyFill="1" applyBorder="1" applyAlignment="1">
      <alignment horizontal="left"/>
    </xf>
    <xf numFmtId="0" fontId="7" fillId="0" borderId="14" xfId="0" quotePrefix="1" applyFont="1" applyFill="1" applyBorder="1" applyAlignment="1"/>
    <xf numFmtId="0" fontId="7" fillId="0" borderId="0" xfId="0" quotePrefix="1" applyFont="1" applyFill="1" applyBorder="1" applyAlignment="1"/>
    <xf numFmtId="0" fontId="10" fillId="0" borderId="12" xfId="0" applyFont="1" applyBorder="1" applyAlignment="1">
      <alignment wrapText="1"/>
    </xf>
    <xf numFmtId="0" fontId="10" fillId="0" borderId="12" xfId="0" applyFont="1" applyFill="1" applyBorder="1" applyAlignment="1">
      <alignment wrapText="1"/>
    </xf>
    <xf numFmtId="0" fontId="9" fillId="0" borderId="12" xfId="0" applyFont="1" applyBorder="1" applyAlignment="1">
      <alignment wrapText="1"/>
    </xf>
    <xf numFmtId="164" fontId="6" fillId="28" borderId="64" xfId="0" applyNumberFormat="1" applyFont="1" applyFill="1" applyBorder="1" applyAlignment="1">
      <alignment horizontal="right"/>
    </xf>
    <xf numFmtId="0" fontId="11" fillId="0" borderId="8" xfId="0" applyFont="1" applyBorder="1" applyAlignment="1">
      <alignment horizontal="right" vertical="center" wrapText="1"/>
    </xf>
    <xf numFmtId="3" fontId="6" fillId="28" borderId="64" xfId="0" applyNumberFormat="1" applyFont="1" applyFill="1" applyBorder="1" applyAlignment="1">
      <alignment horizontal="right"/>
    </xf>
    <xf numFmtId="1" fontId="7" fillId="0" borderId="13" xfId="47" applyNumberFormat="1" applyFont="1" applyBorder="1" applyAlignment="1">
      <alignment horizontal="right"/>
    </xf>
    <xf numFmtId="3" fontId="25" fillId="28" borderId="13" xfId="0" applyNumberFormat="1" applyFont="1" applyFill="1" applyBorder="1"/>
    <xf numFmtId="3" fontId="25" fillId="28" borderId="64" xfId="0" applyNumberFormat="1" applyFont="1" applyFill="1" applyBorder="1"/>
    <xf numFmtId="0" fontId="10" fillId="0" borderId="63" xfId="0" applyFont="1" applyBorder="1" applyAlignment="1">
      <alignment horizontal="left"/>
    </xf>
    <xf numFmtId="3" fontId="7" fillId="0" borderId="62" xfId="0" applyNumberFormat="1" applyFont="1" applyBorder="1" applyAlignment="1">
      <alignment horizontal="right"/>
    </xf>
    <xf numFmtId="3" fontId="7" fillId="0" borderId="64" xfId="0" applyNumberFormat="1" applyFont="1" applyBorder="1" applyAlignment="1">
      <alignment horizontal="right"/>
    </xf>
    <xf numFmtId="165" fontId="7" fillId="0" borderId="13" xfId="47" applyNumberFormat="1" applyFont="1" applyBorder="1" applyAlignment="1">
      <alignment horizontal="right"/>
    </xf>
    <xf numFmtId="0" fontId="7" fillId="28" borderId="0" xfId="0" applyFont="1" applyFill="1" applyBorder="1" applyAlignment="1">
      <alignment horizontal="left"/>
    </xf>
    <xf numFmtId="0" fontId="7" fillId="0" borderId="64" xfId="0" applyFont="1" applyBorder="1" applyAlignment="1">
      <alignment horizontal="right" vertical="center" wrapText="1"/>
    </xf>
    <xf numFmtId="3" fontId="7" fillId="0" borderId="64" xfId="0" applyNumberFormat="1" applyFont="1" applyBorder="1" applyAlignment="1">
      <alignment horizontal="right" vertical="center" wrapText="1"/>
    </xf>
    <xf numFmtId="3" fontId="7" fillId="0" borderId="64" xfId="0" applyNumberFormat="1" applyFont="1" applyFill="1" applyBorder="1" applyAlignment="1">
      <alignment horizontal="right" vertical="center" wrapText="1"/>
    </xf>
    <xf numFmtId="3" fontId="7" fillId="0" borderId="61" xfId="0" applyNumberFormat="1" applyFont="1" applyBorder="1" applyAlignment="1">
      <alignment horizontal="right" vertical="center" wrapText="1"/>
    </xf>
    <xf numFmtId="165" fontId="7" fillId="0" borderId="13" xfId="47" applyNumberFormat="1" applyFont="1" applyBorder="1" applyAlignment="1">
      <alignment horizontal="right" vertical="center"/>
    </xf>
    <xf numFmtId="165" fontId="7" fillId="0" borderId="8" xfId="47" applyNumberFormat="1" applyFont="1" applyBorder="1" applyAlignment="1">
      <alignment horizontal="right" vertical="center"/>
    </xf>
    <xf numFmtId="3" fontId="7" fillId="0" borderId="63" xfId="0" applyNumberFormat="1" applyFont="1" applyBorder="1" applyAlignment="1">
      <alignment horizontal="right" vertical="center" wrapText="1"/>
    </xf>
    <xf numFmtId="3" fontId="7" fillId="0" borderId="12" xfId="0" applyNumberFormat="1" applyFont="1" applyFill="1" applyBorder="1" applyAlignment="1">
      <alignment horizontal="right" vertical="center" wrapText="1"/>
    </xf>
    <xf numFmtId="3" fontId="7" fillId="0" borderId="64" xfId="0" applyNumberFormat="1" applyFont="1" applyFill="1" applyBorder="1" applyAlignment="1">
      <alignment horizontal="right"/>
    </xf>
    <xf numFmtId="3" fontId="7" fillId="0" borderId="61" xfId="0" applyNumberFormat="1" applyFont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2" borderId="61" xfId="0" applyNumberFormat="1" applyFont="1" applyFill="1" applyBorder="1" applyAlignment="1">
      <alignment horizontal="right"/>
    </xf>
    <xf numFmtId="0" fontId="7" fillId="0" borderId="64" xfId="0" applyFont="1" applyBorder="1" applyAlignment="1">
      <alignment horizontal="right"/>
    </xf>
    <xf numFmtId="164" fontId="7" fillId="0" borderId="0" xfId="0" applyNumberFormat="1" applyFont="1" applyFill="1"/>
    <xf numFmtId="164" fontId="7" fillId="0" borderId="0" xfId="64" applyNumberFormat="1" applyFont="1" applyFill="1"/>
    <xf numFmtId="164" fontId="6" fillId="0" borderId="0" xfId="0" applyNumberFormat="1" applyFont="1"/>
    <xf numFmtId="164" fontId="5" fillId="0" borderId="0" xfId="0" applyNumberFormat="1" applyFont="1" applyFill="1" applyBorder="1"/>
    <xf numFmtId="164" fontId="6" fillId="0" borderId="0" xfId="0" applyNumberFormat="1" applyFont="1" applyFill="1"/>
    <xf numFmtId="0" fontId="6" fillId="0" borderId="1" xfId="0" applyFont="1" applyBorder="1" applyAlignment="1">
      <alignment horizontal="center" wrapText="1"/>
    </xf>
    <xf numFmtId="166" fontId="7" fillId="0" borderId="0" xfId="92" applyNumberFormat="1" applyFont="1"/>
    <xf numFmtId="166" fontId="6" fillId="0" borderId="1" xfId="92" applyNumberFormat="1" applyFont="1" applyBorder="1" applyAlignment="1">
      <alignment horizontal="center" vertical="center" wrapText="1"/>
    </xf>
    <xf numFmtId="166" fontId="7" fillId="0" borderId="1" xfId="92" applyNumberFormat="1" applyFont="1" applyBorder="1" applyAlignment="1"/>
    <xf numFmtId="166" fontId="7" fillId="0" borderId="1" xfId="92" applyNumberFormat="1" applyFont="1" applyBorder="1"/>
    <xf numFmtId="166" fontId="8" fillId="0" borderId="1" xfId="92" applyNumberFormat="1" applyFont="1" applyBorder="1"/>
    <xf numFmtId="166" fontId="5" fillId="0" borderId="1" xfId="92" applyNumberFormat="1" applyFont="1" applyBorder="1"/>
    <xf numFmtId="0" fontId="6" fillId="0" borderId="14" xfId="0" quotePrefix="1" applyFont="1" applyFill="1" applyBorder="1" applyAlignment="1">
      <alignment wrapText="1"/>
    </xf>
    <xf numFmtId="0" fontId="6" fillId="0" borderId="0" xfId="0" quotePrefix="1" applyFont="1" applyFill="1" applyBorder="1" applyAlignment="1">
      <alignment wrapText="1"/>
    </xf>
    <xf numFmtId="0" fontId="7" fillId="0" borderId="15" xfId="0" quotePrefix="1" applyFont="1" applyFill="1" applyBorder="1" applyAlignment="1">
      <alignment wrapText="1"/>
    </xf>
    <xf numFmtId="0" fontId="7" fillId="0" borderId="63" xfId="0" quotePrefix="1" applyFont="1" applyFill="1" applyBorder="1" applyAlignment="1">
      <alignment horizontal="left" wrapText="1"/>
    </xf>
    <xf numFmtId="0" fontId="7" fillId="0" borderId="15" xfId="0" quotePrefix="1" applyFont="1" applyFill="1" applyBorder="1" applyAlignment="1">
      <alignment horizontal="left" wrapText="1"/>
    </xf>
    <xf numFmtId="3" fontId="13" fillId="28" borderId="64" xfId="0" applyNumberFormat="1" applyFont="1" applyFill="1" applyBorder="1"/>
    <xf numFmtId="0" fontId="6" fillId="28" borderId="20" xfId="0" applyFont="1" applyFill="1" applyBorder="1"/>
    <xf numFmtId="49" fontId="72" fillId="0" borderId="10" xfId="0" applyNumberFormat="1" applyFont="1" applyBorder="1" applyAlignment="1">
      <alignment horizontal="left" wrapText="1"/>
    </xf>
    <xf numFmtId="49" fontId="72" fillId="0" borderId="11" xfId="0" applyNumberFormat="1" applyFont="1" applyFill="1" applyBorder="1" applyAlignment="1"/>
    <xf numFmtId="49" fontId="72" fillId="0" borderId="12" xfId="0" applyNumberFormat="1" applyFont="1" applyFill="1" applyBorder="1" applyAlignment="1"/>
    <xf numFmtId="164" fontId="72" fillId="0" borderId="12" xfId="0" applyNumberFormat="1" applyFont="1" applyFill="1" applyBorder="1" applyAlignment="1"/>
    <xf numFmtId="164" fontId="73" fillId="0" borderId="13" xfId="0" applyNumberFormat="1" applyFont="1" applyFill="1" applyBorder="1"/>
    <xf numFmtId="164" fontId="73" fillId="0" borderId="13" xfId="0" applyNumberFormat="1" applyFont="1" applyFill="1" applyBorder="1" applyAlignment="1">
      <alignment horizontal="right"/>
    </xf>
    <xf numFmtId="49" fontId="72" fillId="0" borderId="16" xfId="0" applyNumberFormat="1" applyFont="1" applyBorder="1" applyAlignment="1">
      <alignment horizontal="left" wrapText="1"/>
    </xf>
    <xf numFmtId="49" fontId="72" fillId="0" borderId="9" xfId="0" applyNumberFormat="1" applyFont="1" applyFill="1" applyBorder="1" applyAlignment="1"/>
    <xf numFmtId="49" fontId="72" fillId="0" borderId="17" xfId="0" applyNumberFormat="1" applyFont="1" applyFill="1" applyBorder="1" applyAlignment="1"/>
    <xf numFmtId="164" fontId="72" fillId="0" borderId="17" xfId="0" applyNumberFormat="1" applyFont="1" applyFill="1" applyBorder="1" applyAlignment="1"/>
    <xf numFmtId="164" fontId="73" fillId="0" borderId="7" xfId="0" applyNumberFormat="1" applyFont="1" applyFill="1" applyBorder="1"/>
    <xf numFmtId="164" fontId="73" fillId="0" borderId="7" xfId="0" applyNumberFormat="1" applyFont="1" applyFill="1" applyBorder="1" applyAlignment="1">
      <alignment horizontal="right"/>
    </xf>
    <xf numFmtId="49" fontId="72" fillId="0" borderId="14" xfId="0" applyNumberFormat="1" applyFont="1" applyBorder="1" applyAlignment="1">
      <alignment horizontal="left" wrapText="1"/>
    </xf>
    <xf numFmtId="49" fontId="72" fillId="0" borderId="0" xfId="0" applyNumberFormat="1" applyFont="1" applyFill="1" applyBorder="1" applyAlignment="1"/>
    <xf numFmtId="164" fontId="72" fillId="0" borderId="15" xfId="0" applyNumberFormat="1" applyFont="1" applyFill="1" applyBorder="1" applyAlignment="1"/>
    <xf numFmtId="164" fontId="73" fillId="0" borderId="8" xfId="0" applyNumberFormat="1" applyFont="1" applyFill="1" applyBorder="1"/>
    <xf numFmtId="164" fontId="73" fillId="0" borderId="8" xfId="0" applyNumberFormat="1" applyFont="1" applyFill="1" applyBorder="1" applyAlignment="1">
      <alignment horizontal="right"/>
    </xf>
    <xf numFmtId="49" fontId="72" fillId="0" borderId="11" xfId="0" applyNumberFormat="1" applyFont="1" applyBorder="1" applyAlignment="1">
      <alignment horizontal="left" wrapText="1"/>
    </xf>
    <xf numFmtId="49" fontId="72" fillId="0" borderId="9" xfId="0" applyNumberFormat="1" applyFont="1" applyBorder="1" applyAlignment="1">
      <alignment horizontal="left" wrapText="1"/>
    </xf>
    <xf numFmtId="49" fontId="72" fillId="0" borderId="0" xfId="0" applyNumberFormat="1" applyFont="1" applyBorder="1" applyAlignment="1">
      <alignment horizontal="left" wrapText="1"/>
    </xf>
    <xf numFmtId="164" fontId="74" fillId="0" borderId="13" xfId="0" applyNumberFormat="1" applyFont="1" applyFill="1" applyBorder="1"/>
    <xf numFmtId="164" fontId="16" fillId="28" borderId="13" xfId="0" applyNumberFormat="1" applyFont="1" applyFill="1" applyBorder="1"/>
    <xf numFmtId="0" fontId="16" fillId="28" borderId="62" xfId="0" applyFont="1" applyFill="1" applyBorder="1"/>
    <xf numFmtId="164" fontId="16" fillId="28" borderId="64" xfId="0" applyNumberFormat="1" applyFont="1" applyFill="1" applyBorder="1"/>
    <xf numFmtId="0" fontId="10" fillId="0" borderId="12" xfId="0" applyFont="1" applyBorder="1" applyAlignment="1">
      <alignment horizontal="left"/>
    </xf>
    <xf numFmtId="0" fontId="9" fillId="28" borderId="11" xfId="0" applyFont="1" applyFill="1" applyBorder="1" applyAlignment="1">
      <alignment horizontal="left"/>
    </xf>
    <xf numFmtId="0" fontId="10" fillId="0" borderId="9" xfId="0" applyFont="1" applyBorder="1" applyAlignment="1">
      <alignment horizontal="left" vertical="center" wrapText="1"/>
    </xf>
    <xf numFmtId="0" fontId="9" fillId="28" borderId="64" xfId="0" applyFont="1" applyFill="1" applyBorder="1"/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/>
    <xf numFmtId="0" fontId="73" fillId="0" borderId="11" xfId="0" quotePrefix="1" applyFont="1" applyBorder="1" applyAlignment="1">
      <alignment horizontal="left" vertical="center" wrapText="1"/>
    </xf>
    <xf numFmtId="0" fontId="73" fillId="0" borderId="62" xfId="0" quotePrefix="1" applyFont="1" applyBorder="1" applyAlignment="1">
      <alignment horizontal="left" vertical="top" wrapText="1"/>
    </xf>
    <xf numFmtId="0" fontId="16" fillId="28" borderId="11" xfId="0" applyFont="1" applyFill="1" applyBorder="1"/>
    <xf numFmtId="3" fontId="7" fillId="0" borderId="17" xfId="0" applyNumberFormat="1" applyFont="1" applyFill="1" applyBorder="1" applyAlignment="1">
      <alignment horizontal="right" vertical="center" wrapText="1"/>
    </xf>
    <xf numFmtId="0" fontId="10" fillId="0" borderId="20" xfId="0" applyFont="1" applyBorder="1" applyAlignment="1">
      <alignment horizontal="left" wrapText="1"/>
    </xf>
    <xf numFmtId="0" fontId="9" fillId="28" borderId="0" xfId="0" applyFont="1" applyFill="1" applyBorder="1" applyAlignment="1">
      <alignment horizontal="left"/>
    </xf>
    <xf numFmtId="0" fontId="9" fillId="28" borderId="11" xfId="0" applyFont="1" applyFill="1" applyBorder="1" applyAlignment="1">
      <alignment horizontal="left"/>
    </xf>
    <xf numFmtId="0" fontId="6" fillId="0" borderId="0" xfId="89" applyFont="1" applyAlignment="1">
      <alignment horizontal="center"/>
    </xf>
    <xf numFmtId="0" fontId="7" fillId="4" borderId="0" xfId="89" applyFont="1" applyFill="1"/>
    <xf numFmtId="164" fontId="7" fillId="4" borderId="0" xfId="89" applyNumberFormat="1" applyFont="1" applyFill="1"/>
    <xf numFmtId="164" fontId="7" fillId="0" borderId="0" xfId="89" applyNumberFormat="1" applyFont="1"/>
    <xf numFmtId="0" fontId="7" fillId="0" borderId="0" xfId="89" applyFont="1" applyFill="1"/>
    <xf numFmtId="0" fontId="7" fillId="0" borderId="0" xfId="89" applyFill="1" applyBorder="1"/>
    <xf numFmtId="0" fontId="8" fillId="0" borderId="0" xfId="89" applyFont="1" applyFill="1" applyBorder="1"/>
    <xf numFmtId="0" fontId="7" fillId="0" borderId="0" xfId="89" applyFont="1" applyFill="1" applyBorder="1"/>
    <xf numFmtId="0" fontId="7" fillId="0" borderId="0" xfId="89" applyFill="1" applyBorder="1" applyAlignment="1">
      <alignment wrapText="1"/>
    </xf>
    <xf numFmtId="49" fontId="15" fillId="0" borderId="0" xfId="91" applyNumberFormat="1"/>
    <xf numFmtId="49" fontId="15" fillId="0" borderId="0" xfId="91" applyNumberFormat="1" applyFont="1"/>
    <xf numFmtId="0" fontId="69" fillId="0" borderId="0" xfId="0" applyFont="1" applyFill="1"/>
    <xf numFmtId="0" fontId="69" fillId="0" borderId="0" xfId="0" applyFont="1"/>
    <xf numFmtId="0" fontId="69" fillId="0" borderId="0" xfId="3" applyFont="1" applyAlignment="1">
      <alignment vertical="center"/>
    </xf>
    <xf numFmtId="0" fontId="75" fillId="0" borderId="0" xfId="4" applyFont="1" applyAlignment="1">
      <alignment vertical="center"/>
    </xf>
    <xf numFmtId="0" fontId="69" fillId="0" borderId="0" xfId="0" applyFont="1" applyAlignment="1">
      <alignment wrapText="1"/>
    </xf>
    <xf numFmtId="165" fontId="7" fillId="0" borderId="64" xfId="47" applyNumberFormat="1" applyFont="1" applyBorder="1" applyAlignment="1"/>
    <xf numFmtId="166" fontId="6" fillId="0" borderId="1" xfId="92" applyNumberFormat="1" applyFont="1" applyFill="1" applyBorder="1"/>
    <xf numFmtId="166" fontId="6" fillId="0" borderId="1" xfId="92" applyNumberFormat="1" applyFont="1" applyBorder="1"/>
    <xf numFmtId="164" fontId="6" fillId="0" borderId="64" xfId="0" applyNumberFormat="1" applyFont="1" applyBorder="1" applyAlignment="1">
      <alignment horizontal="right"/>
    </xf>
    <xf numFmtId="165" fontId="7" fillId="0" borderId="8" xfId="47" applyNumberFormat="1" applyFont="1" applyBorder="1" applyAlignment="1">
      <alignment horizontal="right" vertical="center" wrapText="1"/>
    </xf>
    <xf numFmtId="3" fontId="25" fillId="28" borderId="1" xfId="0" applyNumberFormat="1" applyFont="1" applyFill="1" applyBorder="1"/>
    <xf numFmtId="3" fontId="69" fillId="0" borderId="0" xfId="0" applyNumberFormat="1" applyFont="1"/>
    <xf numFmtId="3" fontId="69" fillId="0" borderId="0" xfId="0" applyNumberFormat="1" applyFont="1" applyFill="1"/>
    <xf numFmtId="0" fontId="0" fillId="0" borderId="1" xfId="0" applyFill="1" applyBorder="1"/>
    <xf numFmtId="0" fontId="0" fillId="0" borderId="13" xfId="0" applyFill="1" applyBorder="1" applyAlignment="1">
      <alignment wrapText="1"/>
    </xf>
    <xf numFmtId="3" fontId="6" fillId="0" borderId="13" xfId="0" applyNumberFormat="1" applyFont="1" applyFill="1" applyBorder="1"/>
    <xf numFmtId="3" fontId="0" fillId="0" borderId="1" xfId="0" applyNumberFormat="1" applyFill="1" applyBorder="1"/>
    <xf numFmtId="3" fontId="6" fillId="0" borderId="16" xfId="0" applyNumberFormat="1" applyFont="1" applyFill="1" applyBorder="1"/>
    <xf numFmtId="0" fontId="0" fillId="0" borderId="20" xfId="0" applyFill="1" applyBorder="1"/>
    <xf numFmtId="0" fontId="0" fillId="0" borderId="10" xfId="0" applyFill="1" applyBorder="1" applyAlignment="1">
      <alignment wrapText="1"/>
    </xf>
    <xf numFmtId="3" fontId="7" fillId="0" borderId="21" xfId="0" applyNumberFormat="1" applyFont="1" applyFill="1" applyBorder="1"/>
    <xf numFmtId="3" fontId="7" fillId="0" borderId="53" xfId="0" applyNumberFormat="1" applyFont="1" applyFill="1" applyBorder="1"/>
    <xf numFmtId="0" fontId="7" fillId="0" borderId="21" xfId="0" applyFont="1" applyFill="1" applyBorder="1"/>
    <xf numFmtId="0" fontId="7" fillId="0" borderId="23" xfId="0" applyFont="1" applyFill="1" applyBorder="1"/>
    <xf numFmtId="0" fontId="7" fillId="0" borderId="3" xfId="0" applyFont="1" applyFill="1" applyBorder="1"/>
    <xf numFmtId="3" fontId="7" fillId="0" borderId="22" xfId="0" applyNumberFormat="1" applyFont="1" applyFill="1" applyBorder="1"/>
    <xf numFmtId="3" fontId="7" fillId="0" borderId="10" xfId="0" applyNumberFormat="1" applyFont="1" applyFill="1" applyBorder="1"/>
    <xf numFmtId="3" fontId="0" fillId="0" borderId="20" xfId="0" applyNumberFormat="1" applyFill="1" applyBorder="1"/>
    <xf numFmtId="0" fontId="7" fillId="0" borderId="1" xfId="0" applyFont="1" applyFill="1" applyBorder="1" applyAlignment="1">
      <alignment horizontal="center" vertical="center" wrapText="1"/>
    </xf>
    <xf numFmtId="3" fontId="7" fillId="0" borderId="7" xfId="0" applyNumberFormat="1" applyFont="1" applyFill="1" applyBorder="1"/>
    <xf numFmtId="3" fontId="6" fillId="0" borderId="4" xfId="0" applyNumberFormat="1" applyFont="1" applyFill="1" applyBorder="1"/>
    <xf numFmtId="3" fontId="6" fillId="0" borderId="8" xfId="0" applyNumberFormat="1" applyFont="1" applyFill="1" applyBorder="1"/>
    <xf numFmtId="3" fontId="6" fillId="0" borderId="6" xfId="0" applyNumberFormat="1" applyFont="1" applyFill="1" applyBorder="1"/>
    <xf numFmtId="166" fontId="6" fillId="0" borderId="24" xfId="92" applyNumberFormat="1" applyFont="1" applyBorder="1" applyAlignment="1">
      <alignment horizontal="center" vertical="center" wrapText="1"/>
    </xf>
    <xf numFmtId="166" fontId="7" fillId="0" borderId="24" xfId="92" applyNumberFormat="1" applyFont="1" applyBorder="1"/>
    <xf numFmtId="166" fontId="7" fillId="4" borderId="24" xfId="92" applyNumberFormat="1" applyFont="1" applyFill="1" applyBorder="1"/>
    <xf numFmtId="166" fontId="6" fillId="0" borderId="24" xfId="92" applyNumberFormat="1" applyFont="1" applyBorder="1"/>
    <xf numFmtId="164" fontId="7" fillId="0" borderId="24" xfId="71" applyNumberFormat="1" applyFont="1" applyFill="1" applyBorder="1"/>
    <xf numFmtId="164" fontId="6" fillId="3" borderId="24" xfId="71" applyNumberFormat="1" applyFont="1" applyFill="1" applyBorder="1"/>
    <xf numFmtId="164" fontId="7" fillId="38" borderId="24" xfId="71" applyNumberFormat="1" applyFont="1" applyFill="1" applyBorder="1"/>
    <xf numFmtId="164" fontId="6" fillId="0" borderId="24" xfId="71" applyNumberFormat="1" applyFont="1" applyFill="1" applyBorder="1"/>
    <xf numFmtId="164" fontId="7" fillId="4" borderId="24" xfId="71" applyNumberFormat="1" applyFont="1" applyFill="1" applyBorder="1"/>
    <xf numFmtId="164" fontId="7" fillId="5" borderId="24" xfId="71" applyNumberFormat="1" applyFont="1" applyFill="1" applyBorder="1"/>
    <xf numFmtId="164" fontId="25" fillId="28" borderId="24" xfId="71" applyNumberFormat="1" applyFont="1" applyFill="1" applyBorder="1"/>
    <xf numFmtId="166" fontId="6" fillId="3" borderId="24" xfId="92" applyNumberFormat="1" applyFont="1" applyFill="1" applyBorder="1"/>
    <xf numFmtId="166" fontId="7" fillId="3" borderId="24" xfId="92" applyNumberFormat="1" applyFont="1" applyFill="1" applyBorder="1"/>
    <xf numFmtId="164" fontId="57" fillId="0" borderId="0" xfId="89" applyNumberFormat="1" applyFont="1"/>
    <xf numFmtId="166" fontId="7" fillId="5" borderId="24" xfId="92" applyNumberFormat="1" applyFont="1" applyFill="1" applyBorder="1"/>
    <xf numFmtId="0" fontId="7" fillId="32" borderId="14" xfId="89" applyFont="1" applyFill="1" applyBorder="1"/>
    <xf numFmtId="166" fontId="6" fillId="0" borderId="0" xfId="92" applyNumberFormat="1" applyFont="1"/>
    <xf numFmtId="166" fontId="7" fillId="38" borderId="24" xfId="92" applyNumberFormat="1" applyFont="1" applyFill="1" applyBorder="1"/>
    <xf numFmtId="166" fontId="7" fillId="0" borderId="24" xfId="92" applyNumberFormat="1" applyFont="1" applyFill="1" applyBorder="1"/>
    <xf numFmtId="0" fontId="62" fillId="0" borderId="24" xfId="91" applyFont="1" applyFill="1" applyBorder="1" applyAlignment="1">
      <alignment wrapText="1"/>
    </xf>
    <xf numFmtId="164" fontId="77" fillId="0" borderId="24" xfId="91" applyNumberFormat="1" applyFont="1" applyFill="1" applyBorder="1"/>
    <xf numFmtId="166" fontId="6" fillId="28" borderId="24" xfId="92" applyNumberFormat="1" applyFont="1" applyFill="1" applyBorder="1"/>
    <xf numFmtId="166" fontId="57" fillId="4" borderId="0" xfId="89" applyNumberFormat="1" applyFont="1" applyFill="1"/>
    <xf numFmtId="3" fontId="7" fillId="0" borderId="0" xfId="89" applyNumberFormat="1" applyFont="1" applyAlignment="1">
      <alignment horizontal="right"/>
    </xf>
    <xf numFmtId="166" fontId="18" fillId="0" borderId="1" xfId="92" applyNumberFormat="1" applyFont="1" applyBorder="1" applyAlignment="1">
      <alignment horizontal="center" vertical="center" wrapText="1"/>
    </xf>
    <xf numFmtId="0" fontId="23" fillId="0" borderId="1" xfId="91" applyFont="1" applyFill="1" applyBorder="1" applyAlignment="1">
      <alignment vertical="center" wrapText="1"/>
    </xf>
    <xf numFmtId="166" fontId="15" fillId="0" borderId="1" xfId="92" applyNumberFormat="1" applyFont="1" applyBorder="1" applyAlignment="1">
      <alignment horizontal="center" vertical="center"/>
    </xf>
    <xf numFmtId="164" fontId="45" fillId="33" borderId="1" xfId="91" applyNumberFormat="1" applyFont="1" applyFill="1" applyBorder="1" applyAlignment="1">
      <alignment horizontal="center" vertical="center" wrapText="1"/>
    </xf>
    <xf numFmtId="166" fontId="45" fillId="33" borderId="1" xfId="92" applyNumberFormat="1" applyFont="1" applyFill="1" applyBorder="1" applyAlignment="1">
      <alignment horizontal="center" vertical="center" wrapText="1"/>
    </xf>
    <xf numFmtId="164" fontId="45" fillId="0" borderId="1" xfId="91" applyNumberFormat="1" applyFont="1" applyBorder="1" applyAlignment="1">
      <alignment horizontal="center" vertical="center"/>
    </xf>
    <xf numFmtId="166" fontId="45" fillId="0" borderId="1" xfId="92" applyNumberFormat="1" applyFont="1" applyBorder="1" applyAlignment="1">
      <alignment horizontal="center" vertical="center"/>
    </xf>
    <xf numFmtId="164" fontId="45" fillId="33" borderId="1" xfId="91" applyNumberFormat="1" applyFont="1" applyFill="1" applyBorder="1" applyAlignment="1">
      <alignment horizontal="center" vertical="center"/>
    </xf>
    <xf numFmtId="164" fontId="15" fillId="0" borderId="1" xfId="91" applyNumberFormat="1" applyFont="1" applyBorder="1" applyAlignment="1">
      <alignment horizontal="center" vertical="center"/>
    </xf>
    <xf numFmtId="164" fontId="45" fillId="34" borderId="1" xfId="91" applyNumberFormat="1" applyFont="1" applyFill="1" applyBorder="1" applyAlignment="1">
      <alignment horizontal="center" vertical="center"/>
    </xf>
    <xf numFmtId="164" fontId="23" fillId="4" borderId="1" xfId="91" applyNumberFormat="1" applyFont="1" applyFill="1" applyBorder="1" applyAlignment="1">
      <alignment horizontal="center" vertical="center"/>
    </xf>
    <xf numFmtId="164" fontId="15" fillId="35" borderId="1" xfId="91" applyNumberFormat="1" applyFont="1" applyFill="1" applyBorder="1" applyAlignment="1">
      <alignment horizontal="center" vertical="center"/>
    </xf>
    <xf numFmtId="166" fontId="6" fillId="0" borderId="0" xfId="92" applyNumberFormat="1" applyFont="1" applyAlignment="1">
      <alignment horizontal="center" vertical="center"/>
    </xf>
    <xf numFmtId="0" fontId="15" fillId="0" borderId="0" xfId="91" applyAlignment="1">
      <alignment horizontal="center" vertical="center"/>
    </xf>
    <xf numFmtId="166" fontId="15" fillId="0" borderId="0" xfId="92" applyNumberFormat="1" applyFont="1" applyAlignment="1">
      <alignment horizontal="center" vertical="center"/>
    </xf>
    <xf numFmtId="0" fontId="18" fillId="0" borderId="0" xfId="91" applyFont="1" applyAlignment="1">
      <alignment horizontal="center" vertical="center"/>
    </xf>
    <xf numFmtId="166" fontId="15" fillId="35" borderId="1" xfId="92" applyNumberFormat="1" applyFont="1" applyFill="1" applyBorder="1" applyAlignment="1">
      <alignment horizontal="center" vertical="center"/>
    </xf>
    <xf numFmtId="165" fontId="15" fillId="0" borderId="1" xfId="47" applyNumberFormat="1" applyFont="1" applyBorder="1" applyAlignment="1">
      <alignment horizontal="center" vertical="center"/>
    </xf>
    <xf numFmtId="165" fontId="15" fillId="35" borderId="1" xfId="47" applyNumberFormat="1" applyFont="1" applyFill="1" applyBorder="1" applyAlignment="1">
      <alignment horizontal="center" vertical="center"/>
    </xf>
    <xf numFmtId="0" fontId="15" fillId="0" borderId="1" xfId="91" applyFont="1" applyBorder="1" applyAlignment="1">
      <alignment horizontal="center" vertical="center"/>
    </xf>
    <xf numFmtId="164" fontId="18" fillId="35" borderId="1" xfId="91" applyNumberFormat="1" applyFont="1" applyFill="1" applyBorder="1" applyAlignment="1">
      <alignment horizontal="center" vertical="center"/>
    </xf>
    <xf numFmtId="166" fontId="0" fillId="35" borderId="1" xfId="92" applyNumberFormat="1" applyFont="1" applyFill="1" applyBorder="1" applyAlignment="1">
      <alignment horizontal="center" vertical="center" wrapText="1"/>
    </xf>
    <xf numFmtId="166" fontId="0" fillId="35" borderId="1" xfId="92" applyNumberFormat="1" applyFont="1" applyFill="1" applyBorder="1" applyAlignment="1">
      <alignment horizontal="center" vertical="center"/>
    </xf>
    <xf numFmtId="0" fontId="15" fillId="0" borderId="0" xfId="91" applyFont="1" applyAlignment="1">
      <alignment horizontal="center" vertical="center"/>
    </xf>
    <xf numFmtId="164" fontId="18" fillId="0" borderId="0" xfId="91" applyNumberFormat="1" applyFont="1" applyAlignment="1">
      <alignment horizontal="center" vertical="center"/>
    </xf>
    <xf numFmtId="164" fontId="75" fillId="0" borderId="0" xfId="91" applyNumberFormat="1" applyFont="1"/>
    <xf numFmtId="165" fontId="57" fillId="0" borderId="0" xfId="47" applyNumberFormat="1" applyFont="1" applyAlignment="1">
      <alignment wrapText="1"/>
    </xf>
    <xf numFmtId="14" fontId="69" fillId="0" borderId="0" xfId="47" applyNumberFormat="1" applyFont="1"/>
    <xf numFmtId="0" fontId="69" fillId="0" borderId="0" xfId="0" applyFont="1" applyAlignment="1">
      <alignment horizontal="center"/>
    </xf>
    <xf numFmtId="165" fontId="69" fillId="0" borderId="0" xfId="47" applyNumberFormat="1" applyFont="1"/>
    <xf numFmtId="164" fontId="69" fillId="0" borderId="0" xfId="0" applyNumberFormat="1" applyFont="1"/>
    <xf numFmtId="166" fontId="7" fillId="0" borderId="0" xfId="92" applyNumberFormat="1" applyFont="1" applyAlignment="1">
      <alignment horizontal="right"/>
    </xf>
    <xf numFmtId="164" fontId="7" fillId="3" borderId="24" xfId="71" applyNumberFormat="1" applyFont="1" applyFill="1" applyBorder="1"/>
    <xf numFmtId="0" fontId="7" fillId="0" borderId="8" xfId="0" applyFont="1" applyFill="1" applyBorder="1" applyAlignment="1">
      <alignment horizontal="right" vertical="center" wrapText="1"/>
    </xf>
    <xf numFmtId="0" fontId="57" fillId="0" borderId="0" xfId="0" applyFont="1" applyFill="1" applyBorder="1"/>
    <xf numFmtId="3" fontId="6" fillId="28" borderId="53" xfId="0" applyNumberFormat="1" applyFont="1" applyFill="1" applyBorder="1" applyAlignment="1">
      <alignment horizontal="right"/>
    </xf>
    <xf numFmtId="3" fontId="6" fillId="28" borderId="21" xfId="0" applyNumberFormat="1" applyFont="1" applyFill="1" applyBorder="1" applyAlignment="1">
      <alignment horizontal="right"/>
    </xf>
    <xf numFmtId="3" fontId="6" fillId="28" borderId="67" xfId="0" applyNumberFormat="1" applyFont="1" applyFill="1" applyBorder="1" applyAlignment="1">
      <alignment horizontal="right"/>
    </xf>
    <xf numFmtId="3" fontId="6" fillId="28" borderId="68" xfId="0" applyNumberFormat="1" applyFont="1" applyFill="1" applyBorder="1" applyAlignment="1">
      <alignment horizontal="right"/>
    </xf>
    <xf numFmtId="3" fontId="6" fillId="28" borderId="41" xfId="0" applyNumberFormat="1" applyFont="1" applyFill="1" applyBorder="1" applyAlignment="1">
      <alignment horizontal="right"/>
    </xf>
    <xf numFmtId="3" fontId="6" fillId="28" borderId="69" xfId="0" applyNumberFormat="1" applyFont="1" applyFill="1" applyBorder="1" applyAlignment="1">
      <alignment horizontal="right"/>
    </xf>
    <xf numFmtId="3" fontId="6" fillId="28" borderId="6" xfId="0" applyNumberFormat="1" applyFont="1" applyFill="1" applyBorder="1" applyAlignment="1">
      <alignment horizontal="right"/>
    </xf>
    <xf numFmtId="3" fontId="6" fillId="28" borderId="2" xfId="0" applyNumberFormat="1" applyFont="1" applyFill="1" applyBorder="1" applyAlignment="1">
      <alignment horizontal="right"/>
    </xf>
    <xf numFmtId="3" fontId="6" fillId="28" borderId="5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0" borderId="62" xfId="0" applyFont="1" applyBorder="1" applyAlignment="1">
      <alignment horizontal="center"/>
    </xf>
    <xf numFmtId="0" fontId="0" fillId="0" borderId="6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46" fillId="0" borderId="0" xfId="0" applyNumberFormat="1" applyFont="1" applyAlignment="1">
      <alignment horizontal="center"/>
    </xf>
    <xf numFmtId="3" fontId="9" fillId="0" borderId="1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/>
    </xf>
    <xf numFmtId="3" fontId="9" fillId="0" borderId="8" xfId="0" applyNumberFormat="1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9" fillId="28" borderId="1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left" wrapText="1"/>
    </xf>
    <xf numFmtId="0" fontId="10" fillId="0" borderId="20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  <xf numFmtId="0" fontId="10" fillId="0" borderId="12" xfId="0" applyFont="1" applyBorder="1" applyAlignment="1">
      <alignment horizontal="left" wrapText="1"/>
    </xf>
    <xf numFmtId="0" fontId="10" fillId="0" borderId="11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9" fillId="0" borderId="62" xfId="0" applyFont="1" applyBorder="1" applyAlignment="1">
      <alignment horizontal="center"/>
    </xf>
    <xf numFmtId="0" fontId="9" fillId="0" borderId="63" xfId="0" applyFont="1" applyBorder="1" applyAlignment="1">
      <alignment horizontal="center"/>
    </xf>
    <xf numFmtId="0" fontId="10" fillId="0" borderId="11" xfId="0" applyFont="1" applyFill="1" applyBorder="1" applyAlignment="1">
      <alignment horizontal="left" wrapText="1"/>
    </xf>
    <xf numFmtId="0" fontId="10" fillId="0" borderId="12" xfId="0" applyFont="1" applyFill="1" applyBorder="1" applyAlignment="1">
      <alignment horizontal="left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28" borderId="18" xfId="0" applyFont="1" applyFill="1" applyBorder="1" applyAlignment="1">
      <alignment horizontal="center"/>
    </xf>
    <xf numFmtId="0" fontId="9" fillId="28" borderId="19" xfId="0" applyFont="1" applyFill="1" applyBorder="1" applyAlignment="1">
      <alignment horizontal="center"/>
    </xf>
    <xf numFmtId="0" fontId="10" fillId="0" borderId="18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61" xfId="0" applyFont="1" applyBorder="1" applyAlignment="1">
      <alignment horizontal="center" wrapText="1"/>
    </xf>
    <xf numFmtId="0" fontId="10" fillId="0" borderId="62" xfId="0" applyFont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10" fillId="0" borderId="61" xfId="0" applyFont="1" applyFill="1" applyBorder="1" applyAlignment="1">
      <alignment horizontal="center" wrapText="1"/>
    </xf>
    <xf numFmtId="0" fontId="10" fillId="0" borderId="62" xfId="0" applyFont="1" applyFill="1" applyBorder="1" applyAlignment="1">
      <alignment horizontal="center" wrapText="1"/>
    </xf>
    <xf numFmtId="0" fontId="9" fillId="28" borderId="10" xfId="0" applyFont="1" applyFill="1" applyBorder="1" applyAlignment="1">
      <alignment horizontal="center"/>
    </xf>
    <xf numFmtId="0" fontId="9" fillId="28" borderId="12" xfId="0" applyFont="1" applyFill="1" applyBorder="1" applyAlignment="1">
      <alignment horizontal="center"/>
    </xf>
    <xf numFmtId="0" fontId="9" fillId="28" borderId="1" xfId="0" applyFont="1" applyFill="1" applyBorder="1" applyAlignment="1">
      <alignment horizontal="center"/>
    </xf>
    <xf numFmtId="0" fontId="9" fillId="28" borderId="18" xfId="0" applyFont="1" applyFill="1" applyBorder="1" applyAlignment="1">
      <alignment horizontal="left"/>
    </xf>
    <xf numFmtId="0" fontId="9" fillId="28" borderId="20" xfId="0" applyFont="1" applyFill="1" applyBorder="1" applyAlignment="1">
      <alignment horizontal="left"/>
    </xf>
    <xf numFmtId="0" fontId="6" fillId="0" borderId="9" xfId="0" applyFont="1" applyBorder="1" applyAlignment="1">
      <alignment horizontal="center"/>
    </xf>
    <xf numFmtId="0" fontId="11" fillId="0" borderId="1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6" fillId="28" borderId="61" xfId="0" applyFont="1" applyFill="1" applyBorder="1" applyAlignment="1">
      <alignment horizontal="left"/>
    </xf>
    <xf numFmtId="0" fontId="16" fillId="28" borderId="62" xfId="0" applyFont="1" applyFill="1" applyBorder="1" applyAlignment="1">
      <alignment horizontal="left"/>
    </xf>
    <xf numFmtId="49" fontId="72" fillId="0" borderId="11" xfId="0" applyNumberFormat="1" applyFont="1" applyBorder="1" applyAlignment="1">
      <alignment horizontal="left" vertical="center" wrapText="1"/>
    </xf>
    <xf numFmtId="49" fontId="72" fillId="0" borderId="9" xfId="0" applyNumberFormat="1" applyFont="1" applyBorder="1" applyAlignment="1">
      <alignment horizontal="left" vertical="center" wrapText="1"/>
    </xf>
    <xf numFmtId="49" fontId="72" fillId="0" borderId="11" xfId="0" applyNumberFormat="1" applyFont="1" applyBorder="1" applyAlignment="1">
      <alignment horizontal="left" wrapText="1"/>
    </xf>
    <xf numFmtId="49" fontId="72" fillId="0" borderId="9" xfId="0" applyNumberFormat="1" applyFont="1" applyBorder="1" applyAlignment="1">
      <alignment horizontal="left" wrapText="1"/>
    </xf>
    <xf numFmtId="49" fontId="72" fillId="0" borderId="11" xfId="0" quotePrefix="1" applyNumberFormat="1" applyFont="1" applyFill="1" applyBorder="1" applyAlignment="1">
      <alignment horizontal="left" vertical="top" wrapText="1"/>
    </xf>
    <xf numFmtId="49" fontId="72" fillId="0" borderId="9" xfId="0" quotePrefix="1" applyNumberFormat="1" applyFont="1" applyFill="1" applyBorder="1" applyAlignment="1">
      <alignment horizontal="left" vertical="top" wrapText="1"/>
    </xf>
    <xf numFmtId="49" fontId="72" fillId="0" borderId="11" xfId="0" applyNumberFormat="1" applyFont="1" applyFill="1" applyBorder="1" applyAlignment="1">
      <alignment horizontal="left" vertical="center" wrapText="1"/>
    </xf>
    <xf numFmtId="49" fontId="72" fillId="0" borderId="9" xfId="0" applyNumberFormat="1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16" fillId="28" borderId="10" xfId="0" applyFont="1" applyFill="1" applyBorder="1" applyAlignment="1">
      <alignment horizontal="center"/>
    </xf>
    <xf numFmtId="0" fontId="16" fillId="28" borderId="11" xfId="0" applyFont="1" applyFill="1" applyBorder="1" applyAlignment="1">
      <alignment horizontal="center"/>
    </xf>
    <xf numFmtId="49" fontId="72" fillId="0" borderId="0" xfId="0" applyNumberFormat="1" applyFont="1" applyBorder="1" applyAlignment="1">
      <alignment horizontal="left" vertical="center" wrapText="1"/>
    </xf>
    <xf numFmtId="0" fontId="9" fillId="28" borderId="14" xfId="0" applyFont="1" applyFill="1" applyBorder="1" applyAlignment="1">
      <alignment horizontal="left"/>
    </xf>
    <xf numFmtId="0" fontId="9" fillId="28" borderId="0" xfId="0" applyFont="1" applyFill="1" applyBorder="1" applyAlignment="1">
      <alignment horizontal="left"/>
    </xf>
    <xf numFmtId="0" fontId="19" fillId="28" borderId="61" xfId="0" applyFont="1" applyFill="1" applyBorder="1" applyAlignment="1">
      <alignment horizontal="left"/>
    </xf>
    <xf numFmtId="0" fontId="19" fillId="28" borderId="62" xfId="0" applyFont="1" applyFill="1" applyBorder="1" applyAlignment="1">
      <alignment horizontal="left"/>
    </xf>
    <xf numFmtId="0" fontId="19" fillId="28" borderId="63" xfId="0" applyFont="1" applyFill="1" applyBorder="1" applyAlignment="1">
      <alignment horizontal="left"/>
    </xf>
    <xf numFmtId="0" fontId="9" fillId="28" borderId="10" xfId="0" applyFont="1" applyFill="1" applyBorder="1" applyAlignment="1">
      <alignment horizontal="left"/>
    </xf>
    <xf numFmtId="0" fontId="9" fillId="28" borderId="11" xfId="0" applyFont="1" applyFill="1" applyBorder="1" applyAlignment="1">
      <alignment horizontal="left"/>
    </xf>
    <xf numFmtId="0" fontId="10" fillId="0" borderId="12" xfId="0" applyFont="1" applyBorder="1" applyAlignment="1">
      <alignment horizontal="center"/>
    </xf>
    <xf numFmtId="0" fontId="10" fillId="0" borderId="63" xfId="0" applyFont="1" applyBorder="1" applyAlignment="1">
      <alignment horizontal="center"/>
    </xf>
    <xf numFmtId="0" fontId="10" fillId="0" borderId="14" xfId="0" quotePrefix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1" xfId="0" quotePrefix="1" applyFont="1" applyBorder="1" applyAlignment="1">
      <alignment horizontal="center" wrapText="1"/>
    </xf>
    <xf numFmtId="0" fontId="10" fillId="0" borderId="62" xfId="0" quotePrefix="1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1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6" xfId="0" quotePrefix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61" xfId="0" quotePrefix="1" applyFont="1" applyBorder="1" applyAlignment="1">
      <alignment horizontal="center"/>
    </xf>
    <xf numFmtId="0" fontId="10" fillId="0" borderId="62" xfId="0" applyFont="1" applyBorder="1" applyAlignment="1">
      <alignment horizontal="center"/>
    </xf>
    <xf numFmtId="0" fontId="10" fillId="0" borderId="62" xfId="0" quotePrefix="1" applyFont="1" applyBorder="1" applyAlignment="1">
      <alignment horizontal="center"/>
    </xf>
    <xf numFmtId="0" fontId="10" fillId="0" borderId="61" xfId="0" applyFont="1" applyBorder="1" applyAlignment="1">
      <alignment horizontal="left"/>
    </xf>
    <xf numFmtId="0" fontId="10" fillId="0" borderId="62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10" xfId="0" applyFont="1" applyBorder="1" applyAlignment="1">
      <alignment horizontal="left" wrapText="1"/>
    </xf>
    <xf numFmtId="0" fontId="10" fillId="0" borderId="14" xfId="0" applyFont="1" applyBorder="1" applyAlignment="1">
      <alignment horizontal="center"/>
    </xf>
    <xf numFmtId="0" fontId="10" fillId="0" borderId="10" xfId="0" quotePrefix="1" applyFont="1" applyBorder="1" applyAlignment="1">
      <alignment horizontal="center" wrapText="1"/>
    </xf>
    <xf numFmtId="0" fontId="10" fillId="0" borderId="11" xfId="0" quotePrefix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63" xfId="0" applyFont="1" applyBorder="1" applyAlignment="1">
      <alignment horizontal="center" wrapText="1"/>
    </xf>
    <xf numFmtId="0" fontId="10" fillId="0" borderId="14" xfId="0" quotePrefix="1" applyFont="1" applyBorder="1" applyAlignment="1">
      <alignment horizontal="center" wrapText="1"/>
    </xf>
    <xf numFmtId="0" fontId="10" fillId="0" borderId="0" xfId="0" quotePrefix="1" applyFont="1" applyBorder="1" applyAlignment="1">
      <alignment horizontal="center" wrapText="1"/>
    </xf>
    <xf numFmtId="0" fontId="10" fillId="0" borderId="12" xfId="0" quotePrefix="1" applyFont="1" applyBorder="1" applyAlignment="1">
      <alignment horizontal="center" wrapText="1"/>
    </xf>
    <xf numFmtId="0" fontId="10" fillId="0" borderId="15" xfId="0" quotePrefix="1" applyFont="1" applyBorder="1" applyAlignment="1">
      <alignment horizontal="center" wrapText="1"/>
    </xf>
    <xf numFmtId="0" fontId="10" fillId="0" borderId="63" xfId="0" quotePrefix="1" applyFont="1" applyBorder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wrapText="1"/>
    </xf>
    <xf numFmtId="0" fontId="10" fillId="0" borderId="14" xfId="0" quotePrefix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61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61" xfId="0" quotePrefix="1" applyFont="1" applyBorder="1" applyAlignment="1">
      <alignment horizontal="center" vertical="center"/>
    </xf>
    <xf numFmtId="0" fontId="10" fillId="0" borderId="62" xfId="0" quotePrefix="1" applyFont="1" applyBorder="1" applyAlignment="1">
      <alignment horizontal="center" vertical="center"/>
    </xf>
    <xf numFmtId="0" fontId="10" fillId="28" borderId="61" xfId="0" applyFont="1" applyFill="1" applyBorder="1" applyAlignment="1">
      <alignment horizontal="left"/>
    </xf>
    <xf numFmtId="0" fontId="10" fillId="28" borderId="62" xfId="0" applyFont="1" applyFill="1" applyBorder="1" applyAlignment="1">
      <alignment horizontal="left"/>
    </xf>
    <xf numFmtId="0" fontId="10" fillId="28" borderId="63" xfId="0" applyFont="1" applyFill="1" applyBorder="1" applyAlignment="1">
      <alignment horizontal="left"/>
    </xf>
    <xf numFmtId="0" fontId="10" fillId="0" borderId="12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28" borderId="14" xfId="0" applyFont="1" applyFill="1" applyBorder="1" applyAlignment="1">
      <alignment horizontal="left"/>
    </xf>
    <xf numFmtId="0" fontId="10" fillId="28" borderId="0" xfId="0" applyFont="1" applyFill="1" applyBorder="1" applyAlignment="1">
      <alignment horizontal="left"/>
    </xf>
    <xf numFmtId="0" fontId="9" fillId="28" borderId="61" xfId="0" applyFont="1" applyFill="1" applyBorder="1" applyAlignment="1">
      <alignment horizontal="left"/>
    </xf>
    <xf numFmtId="0" fontId="9" fillId="28" borderId="62" xfId="0" applyFont="1" applyFill="1" applyBorder="1" applyAlignment="1">
      <alignment horizontal="left"/>
    </xf>
    <xf numFmtId="0" fontId="9" fillId="28" borderId="63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center" vertical="center" wrapText="1"/>
    </xf>
    <xf numFmtId="0" fontId="10" fillId="0" borderId="6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6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0" fontId="9" fillId="28" borderId="12" xfId="0" applyFont="1" applyFill="1" applyBorder="1" applyAlignment="1">
      <alignment horizontal="center" vertical="center"/>
    </xf>
    <xf numFmtId="0" fontId="9" fillId="28" borderId="15" xfId="0" applyFont="1" applyFill="1" applyBorder="1" applyAlignment="1">
      <alignment horizontal="center" vertical="center"/>
    </xf>
    <xf numFmtId="0" fontId="12" fillId="28" borderId="12" xfId="0" applyFont="1" applyFill="1" applyBorder="1" applyAlignment="1">
      <alignment horizontal="center" vertical="center"/>
    </xf>
    <xf numFmtId="0" fontId="12" fillId="28" borderId="15" xfId="0" applyFont="1" applyFill="1" applyBorder="1" applyAlignment="1">
      <alignment horizontal="center" vertical="center"/>
    </xf>
    <xf numFmtId="0" fontId="12" fillId="28" borderId="63" xfId="0" applyFont="1" applyFill="1" applyBorder="1" applyAlignment="1">
      <alignment horizontal="center" vertical="center"/>
    </xf>
    <xf numFmtId="0" fontId="12" fillId="28" borderId="10" xfId="0" applyFont="1" applyFill="1" applyBorder="1" applyAlignment="1">
      <alignment horizontal="center" wrapText="1"/>
    </xf>
    <xf numFmtId="0" fontId="12" fillId="28" borderId="11" xfId="0" applyFont="1" applyFill="1" applyBorder="1" applyAlignment="1">
      <alignment horizontal="center" wrapText="1"/>
    </xf>
    <xf numFmtId="0" fontId="12" fillId="28" borderId="11" xfId="0" applyFont="1" applyFill="1" applyBorder="1" applyAlignment="1">
      <alignment horizontal="center" vertical="center"/>
    </xf>
    <xf numFmtId="0" fontId="12" fillId="28" borderId="0" xfId="0" applyFont="1" applyFill="1" applyBorder="1" applyAlignment="1">
      <alignment horizontal="center" vertical="center"/>
    </xf>
    <xf numFmtId="0" fontId="12" fillId="28" borderId="62" xfId="0" applyFont="1" applyFill="1" applyBorder="1" applyAlignment="1">
      <alignment horizontal="center" vertical="center"/>
    </xf>
    <xf numFmtId="0" fontId="10" fillId="0" borderId="16" xfId="0" quotePrefix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0" fontId="6" fillId="0" borderId="10" xfId="0" quotePrefix="1" applyFont="1" applyFill="1" applyBorder="1" applyAlignment="1">
      <alignment horizontal="left" wrapText="1"/>
    </xf>
    <xf numFmtId="0" fontId="6" fillId="0" borderId="11" xfId="0" quotePrefix="1" applyFont="1" applyFill="1" applyBorder="1" applyAlignment="1">
      <alignment horizontal="left" wrapText="1"/>
    </xf>
    <xf numFmtId="0" fontId="6" fillId="0" borderId="14" xfId="0" quotePrefix="1" applyFont="1" applyFill="1" applyBorder="1" applyAlignment="1">
      <alignment horizontal="left" wrapText="1"/>
    </xf>
    <xf numFmtId="0" fontId="6" fillId="0" borderId="0" xfId="0" quotePrefix="1" applyFont="1" applyFill="1" applyBorder="1" applyAlignment="1">
      <alignment horizontal="left" wrapText="1"/>
    </xf>
    <xf numFmtId="0" fontId="45" fillId="0" borderId="10" xfId="0" applyFont="1" applyFill="1" applyBorder="1" applyAlignment="1">
      <alignment horizontal="left" vertical="center" wrapText="1"/>
    </xf>
    <xf numFmtId="0" fontId="45" fillId="0" borderId="11" xfId="0" applyFont="1" applyFill="1" applyBorder="1" applyAlignment="1">
      <alignment horizontal="left" vertical="center" wrapText="1"/>
    </xf>
    <xf numFmtId="0" fontId="45" fillId="0" borderId="12" xfId="0" applyFont="1" applyFill="1" applyBorder="1" applyAlignment="1">
      <alignment horizontal="left" vertical="center" wrapText="1"/>
    </xf>
    <xf numFmtId="0" fontId="45" fillId="0" borderId="10" xfId="0" applyFont="1" applyBorder="1" applyAlignment="1">
      <alignment horizontal="left" wrapText="1"/>
    </xf>
    <xf numFmtId="0" fontId="45" fillId="0" borderId="11" xfId="0" applyFont="1" applyBorder="1" applyAlignment="1">
      <alignment horizontal="left" wrapText="1"/>
    </xf>
    <xf numFmtId="0" fontId="45" fillId="0" borderId="12" xfId="0" applyFont="1" applyBorder="1" applyAlignment="1">
      <alignment horizontal="left" wrapText="1"/>
    </xf>
    <xf numFmtId="49" fontId="45" fillId="0" borderId="10" xfId="0" applyNumberFormat="1" applyFont="1" applyBorder="1" applyAlignment="1">
      <alignment horizontal="left" wrapText="1"/>
    </xf>
    <xf numFmtId="49" fontId="45" fillId="0" borderId="11" xfId="0" applyNumberFormat="1" applyFont="1" applyBorder="1" applyAlignment="1">
      <alignment horizontal="left" wrapText="1"/>
    </xf>
    <xf numFmtId="49" fontId="45" fillId="0" borderId="12" xfId="0" applyNumberFormat="1" applyFont="1" applyBorder="1" applyAlignment="1">
      <alignment horizontal="left" wrapText="1"/>
    </xf>
    <xf numFmtId="49" fontId="23" fillId="0" borderId="11" xfId="0" applyNumberFormat="1" applyFont="1" applyBorder="1" applyAlignment="1">
      <alignment horizontal="left" wrapText="1"/>
    </xf>
    <xf numFmtId="49" fontId="23" fillId="0" borderId="12" xfId="0" applyNumberFormat="1" applyFont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left" wrapText="1"/>
    </xf>
    <xf numFmtId="0" fontId="12" fillId="0" borderId="12" xfId="0" applyFont="1" applyFill="1" applyBorder="1" applyAlignment="1">
      <alignment horizontal="left" wrapText="1"/>
    </xf>
    <xf numFmtId="0" fontId="11" fillId="0" borderId="11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left" wrapText="1"/>
    </xf>
    <xf numFmtId="49" fontId="6" fillId="0" borderId="10" xfId="0" applyNumberFormat="1" applyFont="1" applyBorder="1" applyAlignment="1">
      <alignment horizontal="left" wrapText="1"/>
    </xf>
    <xf numFmtId="49" fontId="6" fillId="0" borderId="11" xfId="0" applyNumberFormat="1" applyFont="1" applyBorder="1" applyAlignment="1">
      <alignment horizontal="left" wrapText="1"/>
    </xf>
    <xf numFmtId="49" fontId="6" fillId="0" borderId="12" xfId="0" applyNumberFormat="1" applyFont="1" applyBorder="1" applyAlignment="1">
      <alignment horizontal="left" wrapText="1"/>
    </xf>
    <xf numFmtId="0" fontId="45" fillId="0" borderId="10" xfId="77" applyFont="1" applyBorder="1" applyAlignment="1">
      <alignment horizontal="left" wrapText="1"/>
    </xf>
    <xf numFmtId="0" fontId="45" fillId="0" borderId="11" xfId="77" applyFont="1" applyBorder="1" applyAlignment="1">
      <alignment horizontal="left" wrapText="1"/>
    </xf>
    <xf numFmtId="0" fontId="45" fillId="0" borderId="12" xfId="77" applyFont="1" applyBorder="1" applyAlignment="1">
      <alignment horizontal="left" wrapText="1"/>
    </xf>
    <xf numFmtId="0" fontId="6" fillId="0" borderId="42" xfId="0" applyFont="1" applyFill="1" applyBorder="1" applyAlignment="1">
      <alignment horizontal="left" wrapText="1"/>
    </xf>
    <xf numFmtId="0" fontId="7" fillId="0" borderId="65" xfId="0" applyFont="1" applyFill="1" applyBorder="1" applyAlignment="1">
      <alignment horizontal="left" wrapText="1"/>
    </xf>
    <xf numFmtId="0" fontId="7" fillId="0" borderId="66" xfId="0" applyFont="1" applyFill="1" applyBorder="1" applyAlignment="1">
      <alignment horizontal="left" wrapText="1"/>
    </xf>
    <xf numFmtId="0" fontId="45" fillId="0" borderId="10" xfId="0" quotePrefix="1" applyFont="1" applyFill="1" applyBorder="1" applyAlignment="1">
      <alignment horizontal="left"/>
    </xf>
    <xf numFmtId="0" fontId="45" fillId="0" borderId="11" xfId="0" quotePrefix="1" applyFont="1" applyFill="1" applyBorder="1" applyAlignment="1">
      <alignment horizontal="left"/>
    </xf>
    <xf numFmtId="0" fontId="45" fillId="0" borderId="12" xfId="0" quotePrefix="1" applyFont="1" applyFill="1" applyBorder="1" applyAlignment="1">
      <alignment horizontal="left"/>
    </xf>
    <xf numFmtId="49" fontId="76" fillId="0" borderId="10" xfId="0" quotePrefix="1" applyNumberFormat="1" applyFont="1" applyFill="1" applyBorder="1" applyAlignment="1">
      <alignment horizontal="left"/>
    </xf>
    <xf numFmtId="49" fontId="76" fillId="0" borderId="11" xfId="0" quotePrefix="1" applyNumberFormat="1" applyFont="1" applyFill="1" applyBorder="1" applyAlignment="1">
      <alignment horizontal="left"/>
    </xf>
    <xf numFmtId="49" fontId="76" fillId="0" borderId="12" xfId="0" quotePrefix="1" applyNumberFormat="1" applyFont="1" applyFill="1" applyBorder="1" applyAlignment="1">
      <alignment horizontal="left"/>
    </xf>
    <xf numFmtId="0" fontId="76" fillId="0" borderId="10" xfId="0" quotePrefix="1" applyFont="1" applyFill="1" applyBorder="1" applyAlignment="1">
      <alignment horizontal="left" wrapText="1"/>
    </xf>
    <xf numFmtId="0" fontId="76" fillId="0" borderId="11" xfId="0" quotePrefix="1" applyFont="1" applyFill="1" applyBorder="1" applyAlignment="1">
      <alignment horizontal="left" wrapText="1"/>
    </xf>
    <xf numFmtId="0" fontId="76" fillId="0" borderId="12" xfId="0" quotePrefix="1" applyFont="1" applyFill="1" applyBorder="1" applyAlignment="1">
      <alignment horizontal="left" wrapText="1"/>
    </xf>
    <xf numFmtId="0" fontId="6" fillId="0" borderId="12" xfId="0" quotePrefix="1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left" wrapText="1"/>
    </xf>
    <xf numFmtId="49" fontId="7" fillId="0" borderId="12" xfId="0" applyNumberFormat="1" applyFont="1" applyBorder="1" applyAlignment="1">
      <alignment horizontal="left" wrapText="1"/>
    </xf>
    <xf numFmtId="0" fontId="7" fillId="0" borderId="10" xfId="0" applyFont="1" applyFill="1" applyBorder="1" applyAlignment="1">
      <alignment horizontal="left" wrapText="1"/>
    </xf>
    <xf numFmtId="0" fontId="6" fillId="0" borderId="0" xfId="89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4" fillId="0" borderId="13" xfId="1" applyFont="1" applyFill="1" applyBorder="1" applyAlignment="1">
      <alignment horizontal="center"/>
    </xf>
    <xf numFmtId="0" fontId="14" fillId="0" borderId="7" xfId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6" fillId="0" borderId="9" xfId="1" applyFont="1" applyBorder="1" applyAlignment="1">
      <alignment horizontal="right"/>
    </xf>
    <xf numFmtId="0" fontId="7" fillId="0" borderId="0" xfId="1" applyFont="1" applyAlignment="1">
      <alignment horizontal="left" wrapText="1"/>
    </xf>
    <xf numFmtId="0" fontId="7" fillId="0" borderId="25" xfId="0" applyFont="1" applyBorder="1" applyAlignment="1">
      <alignment horizontal="left" wrapText="1"/>
    </xf>
    <xf numFmtId="0" fontId="7" fillId="0" borderId="26" xfId="0" applyFont="1" applyBorder="1" applyAlignment="1">
      <alignment horizontal="left" wrapText="1"/>
    </xf>
    <xf numFmtId="0" fontId="8" fillId="0" borderId="13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1" fontId="5" fillId="0" borderId="28" xfId="3" applyNumberFormat="1" applyFont="1" applyFill="1" applyBorder="1" applyAlignment="1">
      <alignment horizontal="center"/>
    </xf>
    <xf numFmtId="0" fontId="16" fillId="0" borderId="0" xfId="3" applyFont="1" applyAlignment="1">
      <alignment horizontal="center" vertical="center"/>
    </xf>
    <xf numFmtId="0" fontId="15" fillId="0" borderId="0" xfId="4" applyFont="1" applyAlignment="1">
      <alignment horizontal="right" vertical="center"/>
    </xf>
    <xf numFmtId="0" fontId="6" fillId="0" borderId="9" xfId="3" applyFont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8" fillId="0" borderId="18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/>
    </xf>
    <xf numFmtId="0" fontId="17" fillId="0" borderId="13" xfId="4" applyFont="1" applyBorder="1" applyAlignment="1">
      <alignment horizontal="center" vertical="center" wrapText="1"/>
    </xf>
    <xf numFmtId="0" fontId="17" fillId="0" borderId="8" xfId="4" applyFont="1" applyBorder="1" applyAlignment="1">
      <alignment horizontal="center" vertical="center" wrapText="1"/>
    </xf>
    <xf numFmtId="0" fontId="17" fillId="0" borderId="7" xfId="4" applyFont="1" applyBorder="1" applyAlignment="1">
      <alignment horizontal="center" vertical="center" wrapText="1"/>
    </xf>
    <xf numFmtId="0" fontId="17" fillId="0" borderId="20" xfId="4" applyFont="1" applyBorder="1" applyAlignment="1">
      <alignment horizontal="center" vertical="center"/>
    </xf>
    <xf numFmtId="0" fontId="17" fillId="0" borderId="1" xfId="4" applyFont="1" applyBorder="1" applyAlignment="1">
      <alignment horizontal="center" vertical="center"/>
    </xf>
    <xf numFmtId="0" fontId="15" fillId="0" borderId="18" xfId="4" applyFont="1" applyBorder="1" applyAlignment="1">
      <alignment horizontal="center" vertical="center"/>
    </xf>
    <xf numFmtId="0" fontId="16" fillId="0" borderId="0" xfId="3" applyFont="1" applyAlignment="1">
      <alignment horizontal="center" vertical="center" wrapText="1"/>
    </xf>
    <xf numFmtId="0" fontId="53" fillId="0" borderId="24" xfId="48" applyFont="1" applyFill="1" applyBorder="1" applyAlignment="1">
      <alignment horizontal="left" wrapText="1"/>
    </xf>
    <xf numFmtId="0" fontId="53" fillId="0" borderId="0" xfId="0" applyFont="1" applyFill="1" applyBorder="1" applyAlignment="1">
      <alignment horizontal="left" wrapText="1"/>
    </xf>
    <xf numFmtId="0" fontId="52" fillId="0" borderId="24" xfId="48" applyFont="1" applyFill="1" applyBorder="1" applyAlignment="1">
      <alignment horizontal="left"/>
    </xf>
    <xf numFmtId="0" fontId="53" fillId="0" borderId="25" xfId="48" applyFont="1" applyFill="1" applyBorder="1" applyAlignment="1">
      <alignment horizontal="left" wrapText="1"/>
    </xf>
    <xf numFmtId="0" fontId="53" fillId="0" borderId="38" xfId="48" applyFont="1" applyFill="1" applyBorder="1" applyAlignment="1">
      <alignment horizontal="left" wrapText="1"/>
    </xf>
    <xf numFmtId="0" fontId="53" fillId="0" borderId="26" xfId="48" applyFont="1" applyFill="1" applyBorder="1" applyAlignment="1">
      <alignment horizontal="left" wrapText="1"/>
    </xf>
    <xf numFmtId="0" fontId="52" fillId="0" borderId="0" xfId="0" applyFont="1" applyFill="1" applyBorder="1" applyAlignment="1">
      <alignment horizontal="left"/>
    </xf>
    <xf numFmtId="0" fontId="52" fillId="0" borderId="25" xfId="48" applyFont="1" applyFill="1" applyBorder="1" applyAlignment="1">
      <alignment horizontal="left"/>
    </xf>
    <xf numFmtId="0" fontId="52" fillId="0" borderId="26" xfId="48" applyFont="1" applyFill="1" applyBorder="1" applyAlignment="1">
      <alignment horizontal="left"/>
    </xf>
    <xf numFmtId="0" fontId="53" fillId="0" borderId="24" xfId="48" applyFont="1" applyFill="1" applyBorder="1" applyAlignment="1">
      <alignment horizontal="left"/>
    </xf>
    <xf numFmtId="0" fontId="47" fillId="0" borderId="24" xfId="48" applyFont="1" applyFill="1" applyBorder="1" applyAlignment="1">
      <alignment horizontal="left" wrapText="1"/>
    </xf>
    <xf numFmtId="0" fontId="54" fillId="0" borderId="24" xfId="48" applyFont="1" applyFill="1" applyBorder="1" applyAlignment="1">
      <alignment horizontal="left"/>
    </xf>
    <xf numFmtId="0" fontId="56" fillId="0" borderId="24" xfId="48" applyFont="1" applyFill="1" applyBorder="1" applyAlignment="1">
      <alignment horizontal="left" wrapText="1"/>
    </xf>
    <xf numFmtId="0" fontId="56" fillId="0" borderId="24" xfId="48" applyFont="1" applyFill="1" applyBorder="1" applyAlignment="1">
      <alignment horizontal="left"/>
    </xf>
    <xf numFmtId="0" fontId="52" fillId="0" borderId="24" xfId="48" applyFont="1" applyFill="1" applyBorder="1" applyAlignment="1">
      <alignment horizontal="left" wrapText="1"/>
    </xf>
    <xf numFmtId="0" fontId="10" fillId="0" borderId="24" xfId="48" applyFont="1" applyFill="1" applyBorder="1" applyAlignment="1">
      <alignment horizontal="left"/>
    </xf>
    <xf numFmtId="0" fontId="7" fillId="0" borderId="24" xfId="48" applyFont="1" applyFill="1" applyBorder="1" applyAlignment="1">
      <alignment horizontal="left"/>
    </xf>
    <xf numFmtId="0" fontId="56" fillId="0" borderId="25" xfId="48" applyFont="1" applyFill="1" applyBorder="1" applyAlignment="1">
      <alignment horizontal="left" wrapText="1"/>
    </xf>
    <xf numFmtId="0" fontId="56" fillId="0" borderId="38" xfId="48" applyFont="1" applyFill="1" applyBorder="1" applyAlignment="1">
      <alignment horizontal="left" wrapText="1"/>
    </xf>
    <xf numFmtId="0" fontId="56" fillId="0" borderId="26" xfId="48" applyFont="1" applyFill="1" applyBorder="1" applyAlignment="1">
      <alignment horizontal="left" wrapText="1"/>
    </xf>
    <xf numFmtId="0" fontId="54" fillId="0" borderId="25" xfId="48" applyFont="1" applyFill="1" applyBorder="1" applyAlignment="1">
      <alignment horizontal="left"/>
    </xf>
    <xf numFmtId="0" fontId="54" fillId="0" borderId="26" xfId="48" applyFont="1" applyFill="1" applyBorder="1" applyAlignment="1">
      <alignment horizontal="left"/>
    </xf>
    <xf numFmtId="0" fontId="55" fillId="0" borderId="24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 wrapText="1"/>
    </xf>
    <xf numFmtId="0" fontId="55" fillId="0" borderId="38" xfId="0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 wrapText="1"/>
    </xf>
    <xf numFmtId="0" fontId="7" fillId="0" borderId="24" xfId="48" applyFont="1" applyFill="1" applyBorder="1" applyAlignment="1">
      <alignment horizontal="left" vertical="center" wrapText="1"/>
    </xf>
    <xf numFmtId="0" fontId="20" fillId="0" borderId="52" xfId="63" applyFont="1" applyBorder="1" applyAlignment="1">
      <alignment horizontal="center" vertical="center"/>
    </xf>
    <xf numFmtId="0" fontId="20" fillId="0" borderId="57" xfId="63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6" fillId="0" borderId="0" xfId="0" applyFont="1" applyBorder="1" applyAlignment="1">
      <alignment horizontal="right"/>
    </xf>
  </cellXfs>
  <cellStyles count="93">
    <cellStyle name="20% - 1. jelölőszín 2" xfId="6" xr:uid="{00000000-0005-0000-0000-000000000000}"/>
    <cellStyle name="20% - 2. jelölőszín 2" xfId="7" xr:uid="{00000000-0005-0000-0000-000001000000}"/>
    <cellStyle name="20% - 3. jelölőszín 2" xfId="8" xr:uid="{00000000-0005-0000-0000-000002000000}"/>
    <cellStyle name="20% - 4. jelölőszín 2" xfId="9" xr:uid="{00000000-0005-0000-0000-000003000000}"/>
    <cellStyle name="20% - 5. jelölőszín 2" xfId="10" xr:uid="{00000000-0005-0000-0000-000004000000}"/>
    <cellStyle name="20% - 6. jelölőszín 2" xfId="11" xr:uid="{00000000-0005-0000-0000-000005000000}"/>
    <cellStyle name="40% - 1. jelölőszín 2" xfId="12" xr:uid="{00000000-0005-0000-0000-000006000000}"/>
    <cellStyle name="40% - 2. jelölőszín 2" xfId="13" xr:uid="{00000000-0005-0000-0000-000007000000}"/>
    <cellStyle name="40% - 3. jelölőszín 2" xfId="14" xr:uid="{00000000-0005-0000-0000-000008000000}"/>
    <cellStyle name="40% - 4. jelölőszín 2" xfId="15" xr:uid="{00000000-0005-0000-0000-000009000000}"/>
    <cellStyle name="40% - 5. jelölőszín 2" xfId="16" xr:uid="{00000000-0005-0000-0000-00000A000000}"/>
    <cellStyle name="40% - 6. jelölőszín 2" xfId="17" xr:uid="{00000000-0005-0000-0000-00000B000000}"/>
    <cellStyle name="60% - 1. jelölőszín 2" xfId="18" xr:uid="{00000000-0005-0000-0000-00000C000000}"/>
    <cellStyle name="60% - 2. jelölőszín 2" xfId="19" xr:uid="{00000000-0005-0000-0000-00000D000000}"/>
    <cellStyle name="60% - 3. jelölőszín 2" xfId="20" xr:uid="{00000000-0005-0000-0000-00000E000000}"/>
    <cellStyle name="60% - 4. jelölőszín 2" xfId="21" xr:uid="{00000000-0005-0000-0000-00000F000000}"/>
    <cellStyle name="60% - 5. jelölőszín 2" xfId="22" xr:uid="{00000000-0005-0000-0000-000010000000}"/>
    <cellStyle name="60% - 6. jelölőszín 2" xfId="23" xr:uid="{00000000-0005-0000-0000-000011000000}"/>
    <cellStyle name="Bevitel 2" xfId="24" xr:uid="{00000000-0005-0000-0000-000012000000}"/>
    <cellStyle name="Cím 2" xfId="25" xr:uid="{00000000-0005-0000-0000-000013000000}"/>
    <cellStyle name="Címsor 1 2" xfId="26" xr:uid="{00000000-0005-0000-0000-000014000000}"/>
    <cellStyle name="Címsor 2 2" xfId="27" xr:uid="{00000000-0005-0000-0000-000015000000}"/>
    <cellStyle name="Címsor 3 2" xfId="28" xr:uid="{00000000-0005-0000-0000-000016000000}"/>
    <cellStyle name="Címsor 4 2" xfId="29" xr:uid="{00000000-0005-0000-0000-000017000000}"/>
    <cellStyle name="Ellenőrzőcella 2" xfId="30" xr:uid="{00000000-0005-0000-0000-000018000000}"/>
    <cellStyle name="Ezres" xfId="47" builtinId="3"/>
    <cellStyle name="Ezres 2" xfId="5" xr:uid="{00000000-0005-0000-0000-00001A000000}"/>
    <cellStyle name="Ezres 2 2" xfId="49" xr:uid="{00000000-0005-0000-0000-00001B000000}"/>
    <cellStyle name="Ezres 2 2 2" xfId="71" xr:uid="{00000000-0005-0000-0000-00001C000000}"/>
    <cellStyle name="Ezres 2 3" xfId="69" xr:uid="{00000000-0005-0000-0000-00001D000000}"/>
    <cellStyle name="Ezres 3" xfId="51" xr:uid="{00000000-0005-0000-0000-00001E000000}"/>
    <cellStyle name="Ezres 3 2" xfId="72" xr:uid="{00000000-0005-0000-0000-00001F000000}"/>
    <cellStyle name="Ezres 4" xfId="53" xr:uid="{00000000-0005-0000-0000-000020000000}"/>
    <cellStyle name="Ezres 4 2" xfId="73" xr:uid="{00000000-0005-0000-0000-000021000000}"/>
    <cellStyle name="Ezres 5" xfId="56" xr:uid="{00000000-0005-0000-0000-000022000000}"/>
    <cellStyle name="Ezres 5 2" xfId="74" xr:uid="{00000000-0005-0000-0000-000023000000}"/>
    <cellStyle name="Ezres 6" xfId="57" xr:uid="{00000000-0005-0000-0000-000024000000}"/>
    <cellStyle name="Ezres 6 2" xfId="75" xr:uid="{00000000-0005-0000-0000-000025000000}"/>
    <cellStyle name="Ezres 7" xfId="65" xr:uid="{00000000-0005-0000-0000-000026000000}"/>
    <cellStyle name="Ezres 7 2" xfId="80" xr:uid="{00000000-0005-0000-0000-000027000000}"/>
    <cellStyle name="Ezres 7 3" xfId="82" xr:uid="{00000000-0005-0000-0000-000028000000}"/>
    <cellStyle name="Ezres 8" xfId="70" xr:uid="{00000000-0005-0000-0000-000029000000}"/>
    <cellStyle name="Figyelmeztetés 2" xfId="31" xr:uid="{00000000-0005-0000-0000-00002A000000}"/>
    <cellStyle name="Hivatkozott cella 2" xfId="32" xr:uid="{00000000-0005-0000-0000-00002B000000}"/>
    <cellStyle name="Jegyzet 2" xfId="33" xr:uid="{00000000-0005-0000-0000-00002C000000}"/>
    <cellStyle name="Jelölőszín (1) 2" xfId="34" xr:uid="{00000000-0005-0000-0000-00002D000000}"/>
    <cellStyle name="Jelölőszín (2) 2" xfId="35" xr:uid="{00000000-0005-0000-0000-00002E000000}"/>
    <cellStyle name="Jelölőszín (3) 2" xfId="36" xr:uid="{00000000-0005-0000-0000-00002F000000}"/>
    <cellStyle name="Jelölőszín (4) 2" xfId="37" xr:uid="{00000000-0005-0000-0000-000030000000}"/>
    <cellStyle name="Jelölőszín (5) 2" xfId="38" xr:uid="{00000000-0005-0000-0000-000031000000}"/>
    <cellStyle name="Jelölőszín (6) 2" xfId="39" xr:uid="{00000000-0005-0000-0000-000032000000}"/>
    <cellStyle name="Jó" xfId="88" builtinId="26"/>
    <cellStyle name="Jó 2" xfId="40" xr:uid="{00000000-0005-0000-0000-000033000000}"/>
    <cellStyle name="Kimenet 2" xfId="41" xr:uid="{00000000-0005-0000-0000-000034000000}"/>
    <cellStyle name="Magyarázó szöveg 2" xfId="42" xr:uid="{00000000-0005-0000-0000-000035000000}"/>
    <cellStyle name="Normál" xfId="0" builtinId="0"/>
    <cellStyle name="Normál 10" xfId="63" xr:uid="{00000000-0005-0000-0000-000037000000}"/>
    <cellStyle name="Normál 10 2" xfId="87" xr:uid="{D39F878F-71E4-4A59-B454-5C8DA6356506}"/>
    <cellStyle name="Normál 10 2 2" xfId="91" xr:uid="{1EF4BF0E-C79D-4FD0-AD14-8E5DE8FE3A70}"/>
    <cellStyle name="Normál 11" xfId="68" xr:uid="{00000000-0005-0000-0000-000038000000}"/>
    <cellStyle name="Normál 12" xfId="67" xr:uid="{00000000-0005-0000-0000-000039000000}"/>
    <cellStyle name="Normál 13" xfId="83" xr:uid="{00000000-0005-0000-0000-00003A000000}"/>
    <cellStyle name="Normál 2" xfId="1" xr:uid="{00000000-0005-0000-0000-00003B000000}"/>
    <cellStyle name="Normál 2 2" xfId="66" xr:uid="{00000000-0005-0000-0000-00003C000000}"/>
    <cellStyle name="Normál 2 2 2" xfId="86" xr:uid="{E1E32C8C-CEB7-484F-880C-20E2525F8277}"/>
    <cellStyle name="Normál 2 2 2 2" xfId="90" xr:uid="{A411C35B-D3D4-4B0A-AD47-EB7E05B9E03D}"/>
    <cellStyle name="Normál 3" xfId="2" xr:uid="{00000000-0005-0000-0000-00003D000000}"/>
    <cellStyle name="Normál 3 2" xfId="50" xr:uid="{00000000-0005-0000-0000-00003E000000}"/>
    <cellStyle name="Normál 3 2 2" xfId="81" xr:uid="{00000000-0005-0000-0000-00003F000000}"/>
    <cellStyle name="Normál 3 2 2 2" xfId="89" xr:uid="{F25D3EDF-166B-4C63-A8BF-940C0CE85629}"/>
    <cellStyle name="Normál 4" xfId="48" xr:uid="{00000000-0005-0000-0000-000040000000}"/>
    <cellStyle name="Normál 4 2" xfId="58" xr:uid="{00000000-0005-0000-0000-000041000000}"/>
    <cellStyle name="Normál 4 2 2" xfId="76" xr:uid="{00000000-0005-0000-0000-000042000000}"/>
    <cellStyle name="Normál 5" xfId="54" xr:uid="{00000000-0005-0000-0000-000043000000}"/>
    <cellStyle name="Normál 6" xfId="55" xr:uid="{00000000-0005-0000-0000-000044000000}"/>
    <cellStyle name="Normál 6 2" xfId="59" xr:uid="{00000000-0005-0000-0000-000045000000}"/>
    <cellStyle name="Normál 7" xfId="60" xr:uid="{00000000-0005-0000-0000-000046000000}"/>
    <cellStyle name="Normál 7 2" xfId="77" xr:uid="{00000000-0005-0000-0000-000047000000}"/>
    <cellStyle name="Normál 8" xfId="61" xr:uid="{00000000-0005-0000-0000-000048000000}"/>
    <cellStyle name="Normál 9" xfId="62" xr:uid="{00000000-0005-0000-0000-000049000000}"/>
    <cellStyle name="Normál 9 2" xfId="78" xr:uid="{00000000-0005-0000-0000-00004A000000}"/>
    <cellStyle name="Normál 9 3" xfId="85" xr:uid="{00000000-0005-0000-0000-00004B000000}"/>
    <cellStyle name="Normál_Hitel 2007" xfId="4" xr:uid="{00000000-0005-0000-0000-00004C000000}"/>
    <cellStyle name="Normál_Hitel2004" xfId="3" xr:uid="{00000000-0005-0000-0000-00004D000000}"/>
    <cellStyle name="Normal_KARSZJ3" xfId="52" xr:uid="{00000000-0005-0000-0000-00004E000000}"/>
    <cellStyle name="Összesen 2" xfId="43" xr:uid="{00000000-0005-0000-0000-00004F000000}"/>
    <cellStyle name="Pénznem" xfId="92" builtinId="4"/>
    <cellStyle name="Rossz 2" xfId="44" xr:uid="{00000000-0005-0000-0000-000050000000}"/>
    <cellStyle name="Semleges 2" xfId="45" xr:uid="{00000000-0005-0000-0000-000051000000}"/>
    <cellStyle name="Számítás 2" xfId="46" xr:uid="{00000000-0005-0000-0000-000052000000}"/>
    <cellStyle name="Százalék" xfId="64" builtinId="5"/>
    <cellStyle name="Százalék 2" xfId="79" xr:uid="{00000000-0005-0000-0000-000054000000}"/>
    <cellStyle name="Százalék 3" xfId="84" xr:uid="{00000000-0005-0000-0000-000055000000}"/>
  </cellStyles>
  <dxfs count="0"/>
  <tableStyles count="0" defaultTableStyle="TableStyleMedium2" defaultPivotStyle="PivotStyleLight16"/>
  <colors>
    <mruColors>
      <color rgb="FFFFF2CC"/>
      <color rgb="FFFF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egyzok\Szab&#243;n&#233;%20Moln&#225;r%20Ildik&#243;\2024\tervek%20fel&#252;lvizsg&#225;lata\&#214;nkorm&#225;nyzat\2024.%20&#233;vi%20fel&#252;lvizsg&#225;lat%20terv%20pr&#243;ba%20nyomtat&#225;sho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egyzok\Szab&#243;n&#233;%20Moln&#225;r%20Ildik&#243;\2023\2023.%20&#233;vi%20terv\2023.%20k&#246;lts&#233;gvet&#233;si%20terv%20els&#337;%20(III)%20v&#237;zitur.%20n&#233;lk&#252;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egyzok\Szab&#243;n&#233;%20Moln&#225;r%20Ildik&#243;\2024\tervek%20fel&#252;lvizsg&#225;lata\&#214;nkorm&#225;nyzat\2024.%20&#233;vi%20fel&#252;lvizsg&#225;lat%20terv%20(00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Tervez&#233;s%202022/&#214;nkorm&#225;nyzat/II.%20fordul&#243;/2022-es%20ter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egyzok\Jegyz&#337;k%20K&#246;z&#246;s\2024.%20&#233;vi%20k&#246;lts&#233;gvet&#233;si%20rendelet-tervezet%20indokol&#225;ssal%20&#233;s%20mell&#233;kletekkel\Elemi%20k&#246;lts&#233;gvet&#233;s\2024.%20&#233;vi%20fel&#252;lvizsg&#225;lat%20terv%20(00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egyzok\Szab&#243;n&#233;%20Moln&#225;r%20Ildik&#243;\2023\2024\tervek%20fel&#252;lvizsg&#225;lata\Futura\M&#225;solat%20-%20Futura%202024.%20&#233;vi%20k&#246;lts&#233;gvet&#233;s%202024.01.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egyzok\Szab&#243;n&#233;%20Moln&#225;r%20Ildik&#243;\2024\tervek%20fel&#252;lvizsg&#225;lata\&#214;nkorm&#225;nyzat\f&#337;k&#246;nyv\projekt%20bev&#233;tel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rleg"/>
      <sheetName val="Egyenleg"/>
      <sheetName val="Összefoglalás"/>
      <sheetName val="Hulladék"/>
      <sheetName val="utak"/>
      <sheetName val="Lakóép"/>
      <sheetName val="Városgazdálkodás"/>
      <sheetName val="áthúzódó"/>
      <sheetName val="Műszaki adattábla gáz (2)"/>
      <sheetName val="Műszaki adatlap villamos energi"/>
      <sheetName val="Mosonyi Zeneisk. gáz"/>
      <sheetName val="Jégpálya energia"/>
      <sheetName val="távhő, víz"/>
      <sheetName val="Közvilágítás VÜF"/>
      <sheetName val="zöldterület"/>
      <sheetName val="Közvilágítás"/>
      <sheetName val="Városi személyszáll."/>
      <sheetName val="Movinnov"/>
      <sheetName val="Projekt (2)"/>
      <sheetName val="2024-es terv-PolgT.Korm.funkció"/>
      <sheetName val="jogalkotás"/>
      <sheetName val="Covid"/>
      <sheetName val="Menekültek"/>
      <sheetName val="oktatás"/>
      <sheetName val="SNI"/>
      <sheetName val="BTMNS"/>
      <sheetName val="védőnő,telep.eü.,ifj.eü."/>
      <sheetName val="Egészségügy költségvetés 2023."/>
      <sheetName val="szociális"/>
      <sheetName val="civil szer, egyéb kiemelt támog"/>
      <sheetName val="Közművelődés és sport"/>
      <sheetName val="vegyes,NÖK,hitel,int.fin. (2)"/>
      <sheetName val="intézményfin."/>
      <sheetName val="támogatások"/>
      <sheetName val="Bevétel"/>
      <sheetName val="Állami támogatások "/>
      <sheetName val="Óvodai állami"/>
      <sheetName val="Bölcsi"/>
      <sheetName val="Gyermekétkeztetés"/>
      <sheetName val="Megtakarítás"/>
      <sheetName val="Bér és járuléknövekmény finansz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6">
          <cell r="AB26">
            <v>3000000</v>
          </cell>
        </row>
        <row r="166">
          <cell r="A166" t="str">
            <v xml:space="preserve">FVS, Gyáév-csarnok </v>
          </cell>
        </row>
        <row r="169">
          <cell r="A169" t="str">
            <v>FVS, Bolyai Iskola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15">
          <cell r="C15">
            <v>1580000</v>
          </cell>
        </row>
      </sheetData>
      <sheetData sheetId="32" refreshError="1">
        <row r="41">
          <cell r="C41">
            <v>627581846.01999998</v>
          </cell>
          <cell r="P41">
            <v>813029447.58860004</v>
          </cell>
        </row>
        <row r="42">
          <cell r="G42">
            <v>1225550</v>
          </cell>
          <cell r="H42">
            <v>187321259.31349999</v>
          </cell>
          <cell r="I42">
            <v>8890000</v>
          </cell>
        </row>
      </sheetData>
      <sheetData sheetId="33" refreshError="1"/>
      <sheetData sheetId="34" refreshError="1">
        <row r="9">
          <cell r="B9">
            <v>3812798896</v>
          </cell>
        </row>
        <row r="208">
          <cell r="B208">
            <v>200000000</v>
          </cell>
        </row>
      </sheetData>
      <sheetData sheetId="35" refreshError="1">
        <row r="5">
          <cell r="E5">
            <v>374394740</v>
          </cell>
        </row>
        <row r="42">
          <cell r="E42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rleg"/>
      <sheetName val="Egyenleg"/>
      <sheetName val="Hulladék"/>
      <sheetName val="utak"/>
      <sheetName val="Lakóép"/>
      <sheetName val="városgazdálkodás nem Movinnov"/>
      <sheetName val="közvil"/>
      <sheetName val="módos.energia tábla"/>
      <sheetName val="Zita áthúzódó"/>
      <sheetName val="zöldterület"/>
      <sheetName val="Közvilágítás"/>
      <sheetName val="Városi személyszáll."/>
      <sheetName val="Movinnov"/>
      <sheetName val="Vízitur. pályázat"/>
      <sheetName val="Projekt"/>
      <sheetName val="Kimelet önk. rendezvények"/>
      <sheetName val="jogalkotás"/>
      <sheetName val="Covid"/>
      <sheetName val="Menekültek"/>
      <sheetName val="oktatás"/>
      <sheetName val="védőnő,telep.eü.,ifj.eü."/>
      <sheetName val="Egészségügy költségvetés 2023."/>
      <sheetName val="szociális"/>
      <sheetName val="civil szer, egyéb kiemelt támog"/>
      <sheetName val="Közművelődés és sport"/>
      <sheetName val="Flesh ÜT mód. jav"/>
      <sheetName val="vegyes,NÖK,hitel,int.fin. (2)"/>
      <sheetName val="átmeneti gazd. rend."/>
      <sheetName val="intézményfin."/>
      <sheetName val="támogatások"/>
      <sheetName val="Bevétel"/>
      <sheetName val="Strand utca"/>
      <sheetName val="Állami támogatások  (2)"/>
      <sheetName val="1"/>
    </sheetNames>
    <sheetDataSet>
      <sheetData sheetId="0">
        <row r="31">
          <cell r="H31">
            <v>600000000</v>
          </cell>
        </row>
      </sheetData>
      <sheetData sheetId="1">
        <row r="5">
          <cell r="D5">
            <v>10681747209.405233</v>
          </cell>
        </row>
      </sheetData>
      <sheetData sheetId="2">
        <row r="139">
          <cell r="G139">
            <v>4180540</v>
          </cell>
        </row>
      </sheetData>
      <sheetData sheetId="3">
        <row r="7">
          <cell r="O7">
            <v>5000000</v>
          </cell>
        </row>
      </sheetData>
      <sheetData sheetId="4">
        <row r="60">
          <cell r="P60">
            <v>14500000</v>
          </cell>
        </row>
      </sheetData>
      <sheetData sheetId="5">
        <row r="64">
          <cell r="Q64">
            <v>17145000</v>
          </cell>
        </row>
      </sheetData>
      <sheetData sheetId="6"/>
      <sheetData sheetId="7"/>
      <sheetData sheetId="8"/>
      <sheetData sheetId="9">
        <row r="8">
          <cell r="N8">
            <v>1000000</v>
          </cell>
        </row>
      </sheetData>
      <sheetData sheetId="10">
        <row r="87">
          <cell r="L87">
            <v>31750000</v>
          </cell>
        </row>
      </sheetData>
      <sheetData sheetId="11">
        <row r="170">
          <cell r="G170">
            <v>113314000</v>
          </cell>
        </row>
      </sheetData>
      <sheetData sheetId="12">
        <row r="25">
          <cell r="G25">
            <v>0</v>
          </cell>
        </row>
      </sheetData>
      <sheetData sheetId="13"/>
      <sheetData sheetId="14">
        <row r="26">
          <cell r="Y26">
            <v>3318600</v>
          </cell>
        </row>
      </sheetData>
      <sheetData sheetId="15">
        <row r="38">
          <cell r="Y38">
            <v>15725477.800000001</v>
          </cell>
        </row>
      </sheetData>
      <sheetData sheetId="16">
        <row r="30">
          <cell r="D30">
            <v>80646979.399606302</v>
          </cell>
        </row>
      </sheetData>
      <sheetData sheetId="17">
        <row r="191">
          <cell r="C191">
            <v>3851365.17</v>
          </cell>
        </row>
      </sheetData>
      <sheetData sheetId="18">
        <row r="6">
          <cell r="C6">
            <v>1000000</v>
          </cell>
        </row>
      </sheetData>
      <sheetData sheetId="19">
        <row r="12">
          <cell r="B12">
            <v>796400</v>
          </cell>
        </row>
      </sheetData>
      <sheetData sheetId="20">
        <row r="18">
          <cell r="B18">
            <v>95869241.455032572</v>
          </cell>
        </row>
        <row r="119">
          <cell r="F119">
            <v>0</v>
          </cell>
        </row>
      </sheetData>
      <sheetData sheetId="21">
        <row r="40">
          <cell r="D40">
            <v>0</v>
          </cell>
        </row>
      </sheetData>
      <sheetData sheetId="22">
        <row r="5">
          <cell r="B5">
            <v>13760000</v>
          </cell>
        </row>
      </sheetData>
      <sheetData sheetId="23">
        <row r="94">
          <cell r="B94">
            <v>1050000</v>
          </cell>
        </row>
      </sheetData>
      <sheetData sheetId="24">
        <row r="25">
          <cell r="B25">
            <v>5074920</v>
          </cell>
        </row>
        <row r="131">
          <cell r="G131">
            <v>0</v>
          </cell>
        </row>
      </sheetData>
      <sheetData sheetId="25"/>
      <sheetData sheetId="26">
        <row r="14">
          <cell r="B14">
            <v>2894000</v>
          </cell>
        </row>
      </sheetData>
      <sheetData sheetId="27"/>
      <sheetData sheetId="28">
        <row r="6">
          <cell r="C6">
            <v>157668929.60000002</v>
          </cell>
        </row>
      </sheetData>
      <sheetData sheetId="29"/>
      <sheetData sheetId="30">
        <row r="9">
          <cell r="B9">
            <v>3294488276</v>
          </cell>
        </row>
        <row r="113">
          <cell r="B113">
            <v>1000000000</v>
          </cell>
        </row>
        <row r="116">
          <cell r="B116">
            <v>50000000</v>
          </cell>
        </row>
        <row r="159">
          <cell r="B159">
            <v>56000000</v>
          </cell>
        </row>
        <row r="160">
          <cell r="B160">
            <v>500000</v>
          </cell>
        </row>
      </sheetData>
      <sheetData sheetId="31"/>
      <sheetData sheetId="32">
        <row r="5">
          <cell r="H5">
            <v>313892530</v>
          </cell>
        </row>
      </sheetData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rleg"/>
      <sheetName val="Egyenleg"/>
      <sheetName val="Összefoglalás"/>
      <sheetName val="Hulladék"/>
      <sheetName val="utak"/>
      <sheetName val="Lakóép"/>
      <sheetName val="Városgazdálkodás"/>
      <sheetName val="áthúzódó"/>
      <sheetName val="Műszaki adattábla gáz (2)"/>
      <sheetName val="Műszaki adatlap villamos energi"/>
      <sheetName val="Mosonyi Zeneisk. gáz"/>
      <sheetName val="Jégpálya energia"/>
      <sheetName val="távhő, víz"/>
      <sheetName val="Közvilágítás VÜF"/>
      <sheetName val="zöldterület"/>
      <sheetName val="Közvilágítás"/>
      <sheetName val="Városi személyszáll."/>
      <sheetName val="Movinnov"/>
      <sheetName val="Projekt (2)"/>
      <sheetName val="2024-es terv-PolgT.Korm.funkció"/>
      <sheetName val="jogalkotás"/>
      <sheetName val="Covid"/>
      <sheetName val="Menekültek"/>
      <sheetName val="oktatás"/>
      <sheetName val="SNI"/>
      <sheetName val="BTMNS"/>
      <sheetName val="védőnő,telep.eü.,ifj.eü."/>
      <sheetName val="Egészségügy költségvetés 2023."/>
      <sheetName val="szociális"/>
      <sheetName val="civil szer, egyéb kiemelt támog"/>
      <sheetName val="Közművelődés és sport"/>
      <sheetName val="vegyes,NÖK,hitel,int.fin. (2)"/>
      <sheetName val="intézményfin."/>
      <sheetName val="támogatások"/>
      <sheetName val="Bér és járuléknövekmény finansz"/>
      <sheetName val="Bevétel"/>
      <sheetName val="Állami támogatások "/>
      <sheetName val="Óvodai állami"/>
      <sheetName val="Óvoda állami üzemeltetés n."/>
      <sheetName val="Bölcsi"/>
      <sheetName val="Gyermekétkeztetés"/>
      <sheetName val="Megtakarítás"/>
      <sheetName val="Munka1"/>
      <sheetName val="Óvoda állami üzemeltetés n. (2)"/>
    </sheetNames>
    <sheetDataSet>
      <sheetData sheetId="0"/>
      <sheetData sheetId="1">
        <row r="9">
          <cell r="D9">
            <v>-1.1203765869140625E-2</v>
          </cell>
        </row>
      </sheetData>
      <sheetData sheetId="2"/>
      <sheetData sheetId="3"/>
      <sheetData sheetId="4"/>
      <sheetData sheetId="5"/>
      <sheetData sheetId="6">
        <row r="76">
          <cell r="Q76">
            <v>8088100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76">
          <cell r="E176">
            <v>8000000</v>
          </cell>
        </row>
      </sheetData>
      <sheetData sheetId="21"/>
      <sheetData sheetId="22"/>
      <sheetData sheetId="23">
        <row r="90">
          <cell r="D90">
            <v>2050000</v>
          </cell>
        </row>
      </sheetData>
      <sheetData sheetId="24"/>
      <sheetData sheetId="25"/>
      <sheetData sheetId="26"/>
      <sheetData sheetId="27"/>
      <sheetData sheetId="28">
        <row r="149">
          <cell r="B149">
            <v>850078888</v>
          </cell>
        </row>
      </sheetData>
      <sheetData sheetId="29">
        <row r="94">
          <cell r="B94">
            <v>2100000</v>
          </cell>
        </row>
      </sheetData>
      <sheetData sheetId="30">
        <row r="111">
          <cell r="I111">
            <v>320470000</v>
          </cell>
        </row>
      </sheetData>
      <sheetData sheetId="31"/>
      <sheetData sheetId="32"/>
      <sheetData sheetId="33">
        <row r="8">
          <cell r="D8">
            <v>500000</v>
          </cell>
        </row>
      </sheetData>
      <sheetData sheetId="34"/>
      <sheetData sheetId="35">
        <row r="238">
          <cell r="B238">
            <v>18800000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térések részletezése (2)"/>
      <sheetName val="Mérleg"/>
      <sheetName val="Hulladék"/>
      <sheetName val="utak"/>
      <sheetName val="Lakóép"/>
      <sheetName val="városgazdálkodás nem Movinnov"/>
      <sheetName val="Kiemelt"/>
      <sheetName val="áthúzódók részletezése"/>
      <sheetName val="zöldterület"/>
      <sheetName val="Közvilágítás"/>
      <sheetName val="Városi személyszáll."/>
      <sheetName val="Movinnov"/>
      <sheetName val="Jutalék ingatlan értékesítés"/>
      <sheetName val="projekt"/>
      <sheetName val="kiemelt önk. rend, nemzetközi"/>
      <sheetName val="jogalkotás"/>
      <sheetName val="Covid"/>
      <sheetName val="oktatás"/>
      <sheetName val="védőnő,telep.eü.,ifj.eü."/>
      <sheetName val="alapegészségügy személyi"/>
      <sheetName val="szociális"/>
      <sheetName val="társulási maradványok"/>
      <sheetName val="civil szer, egyéb kiemelt támog"/>
      <sheetName val="Közművelődés és sport"/>
      <sheetName val="vegyes,NÖK,hitel,int.fin. (2)"/>
      <sheetName val="intézményfin."/>
      <sheetName val="SNI,BTMNS, jub., felment"/>
      <sheetName val="támogtások"/>
      <sheetName val="Állami támogatások"/>
      <sheetName val="Bevétel"/>
      <sheetName val="Eltérések részletezése"/>
    </sheetNames>
    <sheetDataSet>
      <sheetData sheetId="0"/>
      <sheetData sheetId="1">
        <row r="34">
          <cell r="F34">
            <v>12284958845.529999</v>
          </cell>
        </row>
      </sheetData>
      <sheetData sheetId="2">
        <row r="195">
          <cell r="F195">
            <v>4201080</v>
          </cell>
        </row>
      </sheetData>
      <sheetData sheetId="3">
        <row r="27">
          <cell r="K27">
            <v>1341390094.3299999</v>
          </cell>
        </row>
      </sheetData>
      <sheetData sheetId="4">
        <row r="62">
          <cell r="J62">
            <v>22294007</v>
          </cell>
        </row>
      </sheetData>
      <sheetData sheetId="5">
        <row r="54">
          <cell r="L54">
            <v>182880</v>
          </cell>
        </row>
      </sheetData>
      <sheetData sheetId="6"/>
      <sheetData sheetId="7"/>
      <sheetData sheetId="8">
        <row r="8">
          <cell r="K8">
            <v>2500000</v>
          </cell>
        </row>
      </sheetData>
      <sheetData sheetId="9">
        <row r="92">
          <cell r="H92">
            <v>63500000</v>
          </cell>
        </row>
      </sheetData>
      <sheetData sheetId="10">
        <row r="170">
          <cell r="D170">
            <v>59293000</v>
          </cell>
        </row>
      </sheetData>
      <sheetData sheetId="11">
        <row r="29">
          <cell r="H29">
            <v>0</v>
          </cell>
        </row>
      </sheetData>
      <sheetData sheetId="12"/>
      <sheetData sheetId="13">
        <row r="28">
          <cell r="W28">
            <v>3838840</v>
          </cell>
        </row>
      </sheetData>
      <sheetData sheetId="14">
        <row r="38">
          <cell r="R38">
            <v>14366798.661417322</v>
          </cell>
        </row>
      </sheetData>
      <sheetData sheetId="15">
        <row r="25">
          <cell r="D25">
            <v>1600000</v>
          </cell>
        </row>
      </sheetData>
      <sheetData sheetId="16">
        <row r="11">
          <cell r="C11">
            <v>8509000</v>
          </cell>
        </row>
      </sheetData>
      <sheetData sheetId="17">
        <row r="12">
          <cell r="B12">
            <v>1385000</v>
          </cell>
        </row>
      </sheetData>
      <sheetData sheetId="18">
        <row r="21">
          <cell r="B21">
            <v>142689788.31818181</v>
          </cell>
        </row>
      </sheetData>
      <sheetData sheetId="19"/>
      <sheetData sheetId="20">
        <row r="11">
          <cell r="B11">
            <v>22267200</v>
          </cell>
        </row>
      </sheetData>
      <sheetData sheetId="21"/>
      <sheetData sheetId="22">
        <row r="180">
          <cell r="B180">
            <v>47000000</v>
          </cell>
        </row>
      </sheetData>
      <sheetData sheetId="23">
        <row r="25">
          <cell r="D25">
            <v>22981920</v>
          </cell>
        </row>
      </sheetData>
      <sheetData sheetId="24">
        <row r="16">
          <cell r="B16">
            <v>12000000</v>
          </cell>
        </row>
      </sheetData>
      <sheetData sheetId="25">
        <row r="42">
          <cell r="C42">
            <v>0</v>
          </cell>
        </row>
      </sheetData>
      <sheetData sheetId="26"/>
      <sheetData sheetId="27"/>
      <sheetData sheetId="28"/>
      <sheetData sheetId="29">
        <row r="9">
          <cell r="B9">
            <v>2789467520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rleg"/>
      <sheetName val="Egyenleg"/>
      <sheetName val="Összefoglalás"/>
      <sheetName val="Hulladék"/>
      <sheetName val="utak"/>
      <sheetName val="Lakóép"/>
      <sheetName val="Városgazdálkodás"/>
      <sheetName val="áthúzódó"/>
      <sheetName val="Műszaki adattábla gáz (2)"/>
      <sheetName val="Műszaki adatlap villamos energi"/>
      <sheetName val="Mosonyi Zeneisk. gáz"/>
      <sheetName val="Jégpálya energia"/>
      <sheetName val="távhő, víz"/>
      <sheetName val="Közvilágítás VÜF"/>
      <sheetName val="zöldterület"/>
      <sheetName val="Közvilágítás"/>
      <sheetName val="Városi személyszáll."/>
      <sheetName val="Movinnov"/>
      <sheetName val="Projekt (2)"/>
      <sheetName val="2024-es terv-PolgT.Korm.funkció"/>
      <sheetName val="jogalkotás"/>
      <sheetName val="Covid"/>
      <sheetName val="Menekültek"/>
      <sheetName val="oktatás"/>
      <sheetName val="SNI"/>
      <sheetName val="BTMNS"/>
      <sheetName val="védőnő,telep.eü.,ifj.eü."/>
      <sheetName val="Egészségügy költségvetés 2023."/>
      <sheetName val="szociális"/>
      <sheetName val="civil szer, egyéb kiemelt támog"/>
      <sheetName val="Közművelődés és sport"/>
      <sheetName val="vegyes,NÖK,hitel,int.fin. (2)"/>
      <sheetName val="intézményfin."/>
      <sheetName val="támogatások"/>
      <sheetName val="Bér és járuléknövekmény finansz"/>
      <sheetName val="Bevétel"/>
      <sheetName val="Állami támogatások "/>
      <sheetName val="Óvodai állami"/>
      <sheetName val="Óvoda állami üzemeltetés n."/>
      <sheetName val="Bölcsi"/>
      <sheetName val="Gyermekétkeztetés"/>
      <sheetName val="Megtakarítás"/>
      <sheetName val="Munka1"/>
      <sheetName val="Óvoda állami üzemeltetés n. (2)"/>
    </sheetNames>
    <sheetDataSet>
      <sheetData sheetId="0"/>
      <sheetData sheetId="1"/>
      <sheetData sheetId="2"/>
      <sheetData sheetId="3"/>
      <sheetData sheetId="4"/>
      <sheetData sheetId="5"/>
      <sheetData sheetId="6">
        <row r="190">
          <cell r="P190">
            <v>167970855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47">
          <cell r="B147">
            <v>44000000</v>
          </cell>
        </row>
      </sheetData>
      <sheetData sheetId="32">
        <row r="33">
          <cell r="C33">
            <v>208718759</v>
          </cell>
          <cell r="P33">
            <v>255957642</v>
          </cell>
        </row>
        <row r="34">
          <cell r="P34">
            <v>202541887</v>
          </cell>
        </row>
        <row r="35">
          <cell r="P35">
            <v>197698246</v>
          </cell>
        </row>
        <row r="36">
          <cell r="P36">
            <v>122701847</v>
          </cell>
        </row>
        <row r="37">
          <cell r="P37">
            <v>137202422</v>
          </cell>
        </row>
        <row r="38">
          <cell r="P38">
            <v>297237533</v>
          </cell>
        </row>
        <row r="39">
          <cell r="P39">
            <v>189032060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bor"/>
      <sheetName val="GESZ"/>
      <sheetName val="Központi Konyha"/>
      <sheetName val="Vállalkozási tevékenység"/>
      <sheetName val="Futura"/>
      <sheetName val="Összesen"/>
    </sheetNames>
    <sheetDataSet>
      <sheetData sheetId="0"/>
      <sheetData sheetId="1"/>
      <sheetData sheetId="2"/>
      <sheetData sheetId="3"/>
      <sheetData sheetId="4"/>
      <sheetData sheetId="5">
        <row r="26">
          <cell r="D26">
            <v>7941804</v>
          </cell>
        </row>
        <row r="83">
          <cell r="D83">
            <v>889000</v>
          </cell>
          <cell r="F83">
            <v>12700000</v>
          </cell>
          <cell r="H83">
            <v>635000</v>
          </cell>
        </row>
        <row r="100">
          <cell r="D100">
            <v>25516791</v>
          </cell>
          <cell r="F100">
            <v>538668347</v>
          </cell>
          <cell r="H100">
            <v>206451863</v>
          </cell>
        </row>
        <row r="105">
          <cell r="D105">
            <v>38484038</v>
          </cell>
          <cell r="E105">
            <v>139735096.5</v>
          </cell>
          <cell r="F105">
            <v>1165851683.5</v>
          </cell>
          <cell r="H105">
            <v>282751320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 (2)"/>
    </sheetNames>
    <sheetDataSet>
      <sheetData sheetId="0">
        <row r="159">
          <cell r="AC159">
            <v>100000000</v>
          </cell>
        </row>
        <row r="160">
          <cell r="A160" t="str">
            <v xml:space="preserve">FVS, Gyáév-csarnok 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7"/>
  <sheetViews>
    <sheetView tabSelected="1" zoomScaleNormal="100" workbookViewId="0">
      <selection activeCell="B41" sqref="B41"/>
    </sheetView>
  </sheetViews>
  <sheetFormatPr defaultRowHeight="12.5" x14ac:dyDescent="0.25"/>
  <cols>
    <col min="1" max="1" width="4.1796875" customWidth="1"/>
    <col min="2" max="2" width="69.81640625" bestFit="1" customWidth="1"/>
  </cols>
  <sheetData>
    <row r="1" spans="1:2" ht="15.5" x14ac:dyDescent="0.35">
      <c r="A1" s="915" t="s">
        <v>1114</v>
      </c>
      <c r="B1" s="915"/>
    </row>
    <row r="2" spans="1:2" x14ac:dyDescent="0.25">
      <c r="A2" s="1"/>
      <c r="B2" s="1"/>
    </row>
    <row r="3" spans="1:2" ht="13" x14ac:dyDescent="0.3">
      <c r="A3" s="2">
        <v>1</v>
      </c>
      <c r="B3" s="2" t="s">
        <v>254</v>
      </c>
    </row>
    <row r="4" spans="1:2" ht="13" x14ac:dyDescent="0.3">
      <c r="A4" s="2"/>
      <c r="B4" s="2"/>
    </row>
    <row r="5" spans="1:2" ht="13" x14ac:dyDescent="0.3">
      <c r="A5" s="2">
        <f>A3+1</f>
        <v>2</v>
      </c>
      <c r="B5" s="2" t="s">
        <v>255</v>
      </c>
    </row>
    <row r="6" spans="1:2" ht="13" x14ac:dyDescent="0.3">
      <c r="A6" s="2"/>
      <c r="B6" s="2"/>
    </row>
    <row r="7" spans="1:2" ht="13" x14ac:dyDescent="0.3">
      <c r="A7" s="2">
        <f>A5+1</f>
        <v>3</v>
      </c>
      <c r="B7" s="2" t="s">
        <v>1</v>
      </c>
    </row>
    <row r="8" spans="1:2" ht="13" x14ac:dyDescent="0.3">
      <c r="A8" s="2"/>
      <c r="B8" s="2"/>
    </row>
    <row r="9" spans="1:2" ht="13" x14ac:dyDescent="0.3">
      <c r="A9" s="2">
        <f>A7+1</f>
        <v>4</v>
      </c>
      <c r="B9" s="2" t="s">
        <v>3</v>
      </c>
    </row>
    <row r="10" spans="1:2" ht="13" x14ac:dyDescent="0.3">
      <c r="A10" s="2"/>
      <c r="B10" s="2"/>
    </row>
    <row r="11" spans="1:2" ht="13" x14ac:dyDescent="0.3">
      <c r="A11" s="2">
        <f>A9+1</f>
        <v>5</v>
      </c>
      <c r="B11" s="2" t="s">
        <v>5</v>
      </c>
    </row>
    <row r="12" spans="1:2" ht="13" x14ac:dyDescent="0.3">
      <c r="A12" s="2"/>
      <c r="B12" s="2"/>
    </row>
    <row r="13" spans="1:2" ht="13" x14ac:dyDescent="0.3">
      <c r="A13" s="2">
        <f>A11+1</f>
        <v>6</v>
      </c>
      <c r="B13" s="2" t="s">
        <v>298</v>
      </c>
    </row>
    <row r="14" spans="1:2" ht="13" x14ac:dyDescent="0.3">
      <c r="A14" s="2"/>
      <c r="B14" s="2"/>
    </row>
    <row r="15" spans="1:2" ht="26" x14ac:dyDescent="0.3">
      <c r="A15" s="2">
        <f>A13+1</f>
        <v>7</v>
      </c>
      <c r="B15" s="274" t="s">
        <v>300</v>
      </c>
    </row>
    <row r="16" spans="1:2" ht="13" x14ac:dyDescent="0.3">
      <c r="A16" s="2"/>
      <c r="B16" s="2"/>
    </row>
    <row r="17" spans="1:2" ht="13" x14ac:dyDescent="0.3">
      <c r="A17" s="2">
        <f>A15+1</f>
        <v>8</v>
      </c>
      <c r="B17" s="2" t="s">
        <v>7</v>
      </c>
    </row>
    <row r="18" spans="1:2" ht="13" x14ac:dyDescent="0.3">
      <c r="A18" s="2"/>
      <c r="B18" s="2"/>
    </row>
    <row r="19" spans="1:2" ht="13" x14ac:dyDescent="0.3">
      <c r="A19" s="2">
        <f>A17+1</f>
        <v>9</v>
      </c>
      <c r="B19" s="2" t="s">
        <v>9</v>
      </c>
    </row>
    <row r="20" spans="1:2" ht="13" x14ac:dyDescent="0.3">
      <c r="A20" s="2"/>
      <c r="B20" s="2"/>
    </row>
    <row r="21" spans="1:2" ht="13" x14ac:dyDescent="0.3">
      <c r="A21" s="2">
        <f>A19+1</f>
        <v>10</v>
      </c>
      <c r="B21" s="2" t="s">
        <v>11</v>
      </c>
    </row>
    <row r="22" spans="1:2" ht="11.25" customHeight="1" x14ac:dyDescent="0.3">
      <c r="A22" s="2"/>
      <c r="B22" s="2"/>
    </row>
    <row r="23" spans="1:2" ht="13" x14ac:dyDescent="0.3">
      <c r="A23" s="2">
        <f>A21+1</f>
        <v>11</v>
      </c>
      <c r="B23" s="2" t="s">
        <v>13</v>
      </c>
    </row>
    <row r="24" spans="1:2" ht="13" x14ac:dyDescent="0.3">
      <c r="A24" s="2"/>
      <c r="B24" s="2"/>
    </row>
    <row r="25" spans="1:2" ht="13" x14ac:dyDescent="0.3">
      <c r="A25" s="2">
        <f>A23+1</f>
        <v>12</v>
      </c>
      <c r="B25" s="2" t="s">
        <v>299</v>
      </c>
    </row>
    <row r="26" spans="1:2" ht="13" x14ac:dyDescent="0.3">
      <c r="A26" s="2"/>
      <c r="B26" s="2"/>
    </row>
    <row r="27" spans="1:2" ht="26" x14ac:dyDescent="0.3">
      <c r="A27" s="2">
        <f>A25+1</f>
        <v>13</v>
      </c>
      <c r="B27" s="274" t="s">
        <v>301</v>
      </c>
    </row>
    <row r="28" spans="1:2" ht="13" x14ac:dyDescent="0.3">
      <c r="A28" s="2"/>
      <c r="B28" s="2"/>
    </row>
    <row r="29" spans="1:2" ht="13" x14ac:dyDescent="0.3">
      <c r="A29" s="2">
        <f>A27+1</f>
        <v>14</v>
      </c>
      <c r="B29" s="2" t="s">
        <v>15</v>
      </c>
    </row>
    <row r="30" spans="1:2" ht="13" x14ac:dyDescent="0.3">
      <c r="A30" s="2"/>
      <c r="B30" s="2"/>
    </row>
    <row r="31" spans="1:2" ht="13" x14ac:dyDescent="0.3">
      <c r="A31" s="2">
        <f>A29+1</f>
        <v>15</v>
      </c>
      <c r="B31" s="2" t="s">
        <v>686</v>
      </c>
    </row>
    <row r="32" spans="1:2" ht="13" x14ac:dyDescent="0.3">
      <c r="A32" s="2"/>
      <c r="B32" s="2"/>
    </row>
    <row r="33" spans="1:26" ht="13" x14ac:dyDescent="0.3">
      <c r="A33" s="2">
        <f>A31+1</f>
        <v>16</v>
      </c>
      <c r="B33" s="916" t="s">
        <v>367</v>
      </c>
      <c r="C33" s="916"/>
    </row>
    <row r="34" spans="1:26" x14ac:dyDescent="0.25">
      <c r="A34" s="1"/>
      <c r="B34" s="1"/>
    </row>
    <row r="35" spans="1:26" ht="13" x14ac:dyDescent="0.3">
      <c r="A35" s="2">
        <f>A33+1</f>
        <v>17</v>
      </c>
      <c r="B35" s="2" t="s">
        <v>19</v>
      </c>
    </row>
    <row r="36" spans="1:26" x14ac:dyDescent="0.25">
      <c r="A36" s="1"/>
      <c r="B36" s="1"/>
    </row>
    <row r="37" spans="1:26" s="390" customFormat="1" ht="13" x14ac:dyDescent="0.3">
      <c r="A37" s="814">
        <f>A35+1</f>
        <v>18</v>
      </c>
      <c r="B37" s="815" t="s">
        <v>251</v>
      </c>
    </row>
    <row r="38" spans="1:26" s="390" customFormat="1" x14ac:dyDescent="0.25"/>
    <row r="39" spans="1:26" s="390" customFormat="1" ht="13" x14ac:dyDescent="0.3">
      <c r="A39" s="814">
        <f>A37+1</f>
        <v>19</v>
      </c>
      <c r="B39" s="815" t="s">
        <v>170</v>
      </c>
    </row>
    <row r="40" spans="1:26" s="390" customFormat="1" x14ac:dyDescent="0.25"/>
    <row r="41" spans="1:26" s="390" customFormat="1" ht="13" x14ac:dyDescent="0.3">
      <c r="A41" s="814">
        <f>A39+1</f>
        <v>20</v>
      </c>
      <c r="B41" s="815" t="s">
        <v>103</v>
      </c>
    </row>
    <row r="42" spans="1:26" s="390" customFormat="1" x14ac:dyDescent="0.25"/>
    <row r="43" spans="1:26" s="390" customFormat="1" ht="13" x14ac:dyDescent="0.3">
      <c r="A43" s="814">
        <f>A41+1</f>
        <v>21</v>
      </c>
      <c r="B43" s="815" t="s">
        <v>173</v>
      </c>
    </row>
    <row r="44" spans="1:26" s="390" customFormat="1" x14ac:dyDescent="0.25"/>
    <row r="45" spans="1:26" s="390" customFormat="1" ht="13" x14ac:dyDescent="0.3">
      <c r="A45" s="814">
        <f>A43+1</f>
        <v>22</v>
      </c>
      <c r="B45" s="816" t="s">
        <v>134</v>
      </c>
      <c r="C45" s="816"/>
      <c r="D45" s="816"/>
      <c r="E45" s="817"/>
      <c r="F45" s="817"/>
      <c r="G45" s="817"/>
      <c r="H45" s="817"/>
      <c r="I45" s="817"/>
      <c r="J45" s="817"/>
      <c r="K45" s="817"/>
      <c r="L45" s="817"/>
      <c r="M45" s="817"/>
      <c r="N45" s="817"/>
      <c r="O45" s="817"/>
      <c r="P45" s="817"/>
      <c r="Q45" s="817"/>
      <c r="R45" s="817"/>
      <c r="S45" s="817"/>
      <c r="T45" s="817"/>
      <c r="U45" s="817"/>
      <c r="V45" s="817"/>
      <c r="W45" s="817"/>
      <c r="X45" s="817"/>
      <c r="Y45" s="817"/>
      <c r="Z45" s="817"/>
    </row>
    <row r="46" spans="1:26" s="390" customFormat="1" x14ac:dyDescent="0.25"/>
    <row r="47" spans="1:26" s="390" customFormat="1" ht="13" x14ac:dyDescent="0.3">
      <c r="A47" s="814">
        <f>A45+1</f>
        <v>23</v>
      </c>
      <c r="B47" s="815" t="s">
        <v>365</v>
      </c>
    </row>
    <row r="48" spans="1:26" s="390" customFormat="1" x14ac:dyDescent="0.25"/>
    <row r="49" spans="1:4" s="390" customFormat="1" ht="13" x14ac:dyDescent="0.3">
      <c r="A49" s="814">
        <f>A47+1</f>
        <v>24</v>
      </c>
      <c r="B49" s="815" t="s">
        <v>366</v>
      </c>
    </row>
    <row r="50" spans="1:4" s="390" customFormat="1" x14ac:dyDescent="0.25"/>
    <row r="51" spans="1:4" s="390" customFormat="1" ht="13" x14ac:dyDescent="0.3">
      <c r="A51" s="814">
        <f>A49+1</f>
        <v>25</v>
      </c>
      <c r="B51" s="818" t="s">
        <v>185</v>
      </c>
      <c r="C51" s="818"/>
      <c r="D51" s="818"/>
    </row>
    <row r="52" spans="1:4" s="390" customFormat="1" ht="13" x14ac:dyDescent="0.3">
      <c r="B52" s="818" t="s">
        <v>181</v>
      </c>
      <c r="C52" s="818"/>
      <c r="D52" s="818"/>
    </row>
    <row r="53" spans="1:4" s="390" customFormat="1" ht="13" x14ac:dyDescent="0.3">
      <c r="B53" s="818" t="s">
        <v>364</v>
      </c>
      <c r="C53" s="818"/>
      <c r="D53" s="818"/>
    </row>
    <row r="54" spans="1:4" s="390" customFormat="1" x14ac:dyDescent="0.25"/>
    <row r="55" spans="1:4" s="390" customFormat="1" ht="13" x14ac:dyDescent="0.3">
      <c r="A55" s="814">
        <f>A51+1</f>
        <v>26</v>
      </c>
      <c r="B55" s="818" t="s">
        <v>187</v>
      </c>
    </row>
    <row r="57" spans="1:4" ht="13" x14ac:dyDescent="0.3">
      <c r="A57" s="3"/>
      <c r="B57" s="130"/>
    </row>
  </sheetData>
  <mergeCells count="2">
    <mergeCell ref="A1:B1"/>
    <mergeCell ref="B33:C33"/>
  </mergeCells>
  <pageMargins left="0.75" right="0.75" top="1" bottom="1" header="0.5" footer="0.5"/>
  <pageSetup paperSize="9" scale="9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79998168889431442"/>
  </sheetPr>
  <dimension ref="A1:S252"/>
  <sheetViews>
    <sheetView view="pageBreakPreview" zoomScaleNormal="100" zoomScaleSheetLayoutView="100" workbookViewId="0">
      <selection activeCell="G12" sqref="G12"/>
    </sheetView>
  </sheetViews>
  <sheetFormatPr defaultColWidth="9.1796875" defaultRowHeight="12.5" x14ac:dyDescent="0.25"/>
  <cols>
    <col min="1" max="1" width="3.81640625" style="52" customWidth="1"/>
    <col min="2" max="2" width="49.1796875" style="52" customWidth="1"/>
    <col min="3" max="5" width="14.1796875" style="52" customWidth="1"/>
    <col min="6" max="6" width="10.81640625" style="578" customWidth="1"/>
    <col min="7" max="8" width="10.81640625" style="52" customWidth="1"/>
    <col min="9" max="16384" width="9.1796875" style="52"/>
  </cols>
  <sheetData>
    <row r="1" spans="1:19" ht="13" x14ac:dyDescent="0.3">
      <c r="A1" s="296"/>
      <c r="B1" s="51" t="s">
        <v>841</v>
      </c>
      <c r="C1" s="297"/>
      <c r="D1" s="297"/>
      <c r="E1" s="297" t="s">
        <v>712</v>
      </c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</row>
    <row r="2" spans="1:19" ht="13.5" thickBot="1" x14ac:dyDescent="0.35">
      <c r="A2" s="296"/>
      <c r="B2" s="296"/>
      <c r="C2" s="59"/>
      <c r="D2" s="1147" t="s">
        <v>694</v>
      </c>
      <c r="E2" s="114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</row>
    <row r="3" spans="1:19" ht="16" thickBot="1" x14ac:dyDescent="0.4">
      <c r="A3" s="53"/>
      <c r="B3" s="1142"/>
      <c r="C3" s="1144" t="s">
        <v>842</v>
      </c>
      <c r="D3" s="1144"/>
      <c r="E3" s="1144"/>
      <c r="F3" s="579"/>
      <c r="G3" s="59"/>
      <c r="H3" s="59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16" thickBot="1" x14ac:dyDescent="0.4">
      <c r="A4" s="117"/>
      <c r="B4" s="1143"/>
      <c r="C4" s="1145" t="s">
        <v>71</v>
      </c>
      <c r="D4" s="1146"/>
      <c r="E4" s="54" t="s">
        <v>80</v>
      </c>
      <c r="F4" s="580"/>
      <c r="G4" s="60"/>
      <c r="H4" s="60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</row>
    <row r="5" spans="1:19" ht="39.5" x14ac:dyDescent="0.35">
      <c r="A5" s="117"/>
      <c r="B5" s="118"/>
      <c r="C5" s="120" t="s">
        <v>143</v>
      </c>
      <c r="D5" s="121" t="s">
        <v>144</v>
      </c>
      <c r="E5" s="119"/>
      <c r="F5" s="580"/>
      <c r="G5" s="60"/>
      <c r="H5" s="60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</row>
    <row r="6" spans="1:19" ht="15.5" x14ac:dyDescent="0.35">
      <c r="A6" s="298">
        <v>1</v>
      </c>
      <c r="B6" s="55" t="s">
        <v>50</v>
      </c>
      <c r="C6" s="55">
        <f>27+1</f>
        <v>28</v>
      </c>
      <c r="D6" s="56">
        <v>0</v>
      </c>
      <c r="E6" s="299">
        <f t="shared" ref="E6:E12" si="0">SUM(C6:D6)</f>
        <v>28</v>
      </c>
      <c r="F6" s="581" t="s">
        <v>751</v>
      </c>
      <c r="G6" s="300"/>
      <c r="H6" s="300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</row>
    <row r="7" spans="1:19" ht="15.5" x14ac:dyDescent="0.35">
      <c r="A7" s="298">
        <f t="shared" ref="A7:A12" si="1">SUM(A6+1)</f>
        <v>2</v>
      </c>
      <c r="B7" s="55" t="s">
        <v>51</v>
      </c>
      <c r="C7" s="55">
        <v>26</v>
      </c>
      <c r="D7" s="56">
        <v>0</v>
      </c>
      <c r="E7" s="299">
        <v>26</v>
      </c>
      <c r="F7" s="581" t="s">
        <v>751</v>
      </c>
      <c r="G7" s="300"/>
      <c r="H7" s="300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</row>
    <row r="8" spans="1:19" ht="15.5" x14ac:dyDescent="0.35">
      <c r="A8" s="298">
        <f t="shared" si="1"/>
        <v>3</v>
      </c>
      <c r="B8" s="55" t="s">
        <v>258</v>
      </c>
      <c r="C8" s="56">
        <v>25</v>
      </c>
      <c r="D8" s="56">
        <v>0</v>
      </c>
      <c r="E8" s="299">
        <f t="shared" si="0"/>
        <v>25</v>
      </c>
      <c r="F8" s="581" t="s">
        <v>751</v>
      </c>
      <c r="G8" s="300"/>
      <c r="H8" s="300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</row>
    <row r="9" spans="1:19" ht="15.5" x14ac:dyDescent="0.35">
      <c r="A9" s="298">
        <f t="shared" si="1"/>
        <v>4</v>
      </c>
      <c r="B9" s="55" t="s">
        <v>52</v>
      </c>
      <c r="C9" s="56">
        <v>16</v>
      </c>
      <c r="D9" s="56">
        <v>0</v>
      </c>
      <c r="E9" s="299">
        <f t="shared" si="0"/>
        <v>16</v>
      </c>
      <c r="F9" s="581" t="s">
        <v>751</v>
      </c>
      <c r="G9" s="300"/>
      <c r="H9" s="300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</row>
    <row r="10" spans="1:19" ht="15.5" x14ac:dyDescent="0.35">
      <c r="A10" s="298">
        <f t="shared" si="1"/>
        <v>5</v>
      </c>
      <c r="B10" s="55" t="s">
        <v>53</v>
      </c>
      <c r="C10" s="56">
        <v>15</v>
      </c>
      <c r="D10" s="56">
        <v>0</v>
      </c>
      <c r="E10" s="299">
        <f t="shared" si="0"/>
        <v>15</v>
      </c>
      <c r="F10" s="581" t="s">
        <v>751</v>
      </c>
      <c r="G10" s="300"/>
      <c r="H10" s="300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</row>
    <row r="11" spans="1:19" ht="15.5" x14ac:dyDescent="0.35">
      <c r="A11" s="298">
        <f t="shared" si="1"/>
        <v>6</v>
      </c>
      <c r="B11" s="55" t="s">
        <v>54</v>
      </c>
      <c r="C11" s="56">
        <v>33</v>
      </c>
      <c r="D11" s="56">
        <v>0</v>
      </c>
      <c r="E11" s="299">
        <f t="shared" si="0"/>
        <v>33</v>
      </c>
      <c r="F11" s="581" t="s">
        <v>751</v>
      </c>
      <c r="G11" s="300"/>
      <c r="H11" s="300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</row>
    <row r="12" spans="1:19" ht="15.5" x14ac:dyDescent="0.35">
      <c r="A12" s="298">
        <f t="shared" si="1"/>
        <v>7</v>
      </c>
      <c r="B12" s="55" t="s">
        <v>55</v>
      </c>
      <c r="C12" s="56">
        <v>22</v>
      </c>
      <c r="D12" s="56">
        <v>0</v>
      </c>
      <c r="E12" s="299">
        <f t="shared" si="0"/>
        <v>22</v>
      </c>
      <c r="F12" s="581" t="s">
        <v>751</v>
      </c>
      <c r="G12" s="300"/>
      <c r="H12" s="300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</row>
    <row r="13" spans="1:19" ht="15.5" x14ac:dyDescent="0.35">
      <c r="A13" s="298"/>
      <c r="B13" s="129" t="s">
        <v>183</v>
      </c>
      <c r="C13" s="56"/>
      <c r="D13" s="56"/>
      <c r="E13" s="299"/>
      <c r="F13" s="581"/>
      <c r="G13" s="300"/>
      <c r="H13" s="300"/>
      <c r="I13" s="297"/>
      <c r="J13" s="297"/>
      <c r="K13" s="297"/>
      <c r="L13" s="297"/>
      <c r="M13" s="297"/>
      <c r="N13" s="297"/>
      <c r="O13" s="297"/>
      <c r="P13" s="297"/>
      <c r="Q13" s="297"/>
      <c r="R13" s="297"/>
      <c r="S13" s="297"/>
    </row>
    <row r="14" spans="1:19" ht="15.5" x14ac:dyDescent="0.35">
      <c r="A14" s="298">
        <v>11</v>
      </c>
      <c r="B14" s="549" t="s">
        <v>843</v>
      </c>
      <c r="C14" s="549">
        <v>88</v>
      </c>
      <c r="D14" s="549">
        <v>0</v>
      </c>
      <c r="E14" s="550">
        <f>SUM(C14:D14)</f>
        <v>88</v>
      </c>
      <c r="F14" s="581" t="s">
        <v>751</v>
      </c>
      <c r="G14" s="300"/>
      <c r="H14" s="300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</row>
    <row r="15" spans="1:19" ht="15.5" x14ac:dyDescent="0.35">
      <c r="A15" s="298">
        <v>12</v>
      </c>
      <c r="B15" s="57" t="s">
        <v>57</v>
      </c>
      <c r="C15" s="57">
        <v>18</v>
      </c>
      <c r="D15" s="57">
        <v>0</v>
      </c>
      <c r="E15" s="299">
        <f>SUM(C15:D15)</f>
        <v>18</v>
      </c>
      <c r="F15" s="581" t="s">
        <v>751</v>
      </c>
      <c r="G15" s="300"/>
      <c r="H15" s="300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</row>
    <row r="16" spans="1:19" ht="15.5" x14ac:dyDescent="0.35">
      <c r="A16" s="298">
        <v>13</v>
      </c>
      <c r="B16" s="57" t="s">
        <v>829</v>
      </c>
      <c r="C16" s="57">
        <v>98</v>
      </c>
      <c r="D16" s="57">
        <v>0</v>
      </c>
      <c r="E16" s="299">
        <v>98</v>
      </c>
      <c r="F16" s="581" t="s">
        <v>751</v>
      </c>
      <c r="G16" s="300"/>
      <c r="H16" s="300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</row>
    <row r="17" spans="1:19" ht="15.5" x14ac:dyDescent="0.35">
      <c r="A17" s="298"/>
      <c r="B17" s="577" t="s">
        <v>943</v>
      </c>
      <c r="C17" s="57">
        <v>2</v>
      </c>
      <c r="D17" s="57">
        <v>0</v>
      </c>
      <c r="E17" s="299">
        <v>2</v>
      </c>
      <c r="F17" s="581"/>
      <c r="G17" s="300"/>
      <c r="H17" s="300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</row>
    <row r="18" spans="1:19" ht="15.5" x14ac:dyDescent="0.35">
      <c r="A18" s="298"/>
      <c r="B18" s="577" t="s">
        <v>944</v>
      </c>
      <c r="C18" s="57">
        <v>10</v>
      </c>
      <c r="D18" s="57">
        <v>0</v>
      </c>
      <c r="E18" s="299">
        <v>10</v>
      </c>
      <c r="F18" s="581"/>
      <c r="G18" s="300"/>
      <c r="H18" s="300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</row>
    <row r="19" spans="1:19" ht="15.5" x14ac:dyDescent="0.35">
      <c r="A19" s="298"/>
      <c r="B19" s="577" t="s">
        <v>945</v>
      </c>
      <c r="C19" s="57">
        <v>69</v>
      </c>
      <c r="D19" s="57">
        <v>0</v>
      </c>
      <c r="E19" s="299">
        <v>69</v>
      </c>
      <c r="F19" s="581"/>
      <c r="G19" s="300"/>
      <c r="H19" s="300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</row>
    <row r="20" spans="1:19" ht="15.5" x14ac:dyDescent="0.35">
      <c r="A20" s="298"/>
      <c r="B20" s="577" t="s">
        <v>946</v>
      </c>
      <c r="C20" s="57">
        <v>17</v>
      </c>
      <c r="D20" s="57">
        <v>0</v>
      </c>
      <c r="E20" s="299">
        <v>17</v>
      </c>
      <c r="F20" s="581"/>
      <c r="G20" s="300"/>
      <c r="H20" s="300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</row>
    <row r="21" spans="1:19" ht="15.5" x14ac:dyDescent="0.35">
      <c r="A21" s="298">
        <v>14</v>
      </c>
      <c r="B21" s="55" t="s">
        <v>72</v>
      </c>
      <c r="C21" s="56">
        <v>78</v>
      </c>
      <c r="D21" s="56"/>
      <c r="E21" s="299">
        <v>78</v>
      </c>
      <c r="F21" s="581"/>
      <c r="G21" s="300"/>
      <c r="H21" s="300"/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7"/>
    </row>
    <row r="22" spans="1:19" ht="15.5" x14ac:dyDescent="0.35">
      <c r="A22" s="298">
        <f>SUM(A21+1)</f>
        <v>15</v>
      </c>
      <c r="B22" s="55" t="s">
        <v>71</v>
      </c>
      <c r="C22" s="55">
        <v>5</v>
      </c>
      <c r="D22" s="55">
        <v>10</v>
      </c>
      <c r="E22" s="299">
        <f>C22+D22</f>
        <v>15</v>
      </c>
      <c r="F22" s="581"/>
      <c r="G22" s="300"/>
      <c r="H22" s="300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297"/>
    </row>
    <row r="23" spans="1:19" ht="16" thickBot="1" x14ac:dyDescent="0.4">
      <c r="A23" s="298">
        <v>16</v>
      </c>
      <c r="B23" s="268" t="s">
        <v>294</v>
      </c>
      <c r="C23" s="57">
        <v>10</v>
      </c>
      <c r="D23" s="57">
        <v>0</v>
      </c>
      <c r="E23" s="301">
        <v>10</v>
      </c>
      <c r="F23" s="581"/>
      <c r="G23" s="300"/>
      <c r="H23" s="300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</row>
    <row r="24" spans="1:19" ht="16" thickBot="1" x14ac:dyDescent="0.4">
      <c r="A24" s="298">
        <v>17</v>
      </c>
      <c r="B24" s="267" t="s">
        <v>293</v>
      </c>
      <c r="C24" s="267">
        <v>10</v>
      </c>
      <c r="D24" s="267">
        <v>0</v>
      </c>
      <c r="E24" s="302">
        <v>10</v>
      </c>
      <c r="F24" s="581"/>
      <c r="G24" s="300"/>
      <c r="H24" s="300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</row>
    <row r="25" spans="1:19" ht="13.5" thickBot="1" x14ac:dyDescent="0.35">
      <c r="A25" s="296"/>
      <c r="B25" s="58" t="s">
        <v>81</v>
      </c>
      <c r="C25" s="54">
        <f>SUM(C6:C16,C21:C24)</f>
        <v>472</v>
      </c>
      <c r="D25" s="54">
        <f t="shared" ref="D25:E25" si="2">SUM(D6:D16,D21:D24)</f>
        <v>10</v>
      </c>
      <c r="E25" s="54">
        <f t="shared" si="2"/>
        <v>482</v>
      </c>
      <c r="F25" s="580"/>
      <c r="G25" s="60"/>
      <c r="H25" s="60"/>
      <c r="I25" s="297"/>
      <c r="J25" s="297"/>
      <c r="K25" s="297"/>
      <c r="L25" s="297"/>
      <c r="M25" s="297"/>
      <c r="N25" s="297"/>
      <c r="O25" s="297"/>
      <c r="P25" s="297"/>
      <c r="Q25" s="297"/>
      <c r="R25" s="297"/>
      <c r="S25" s="297"/>
    </row>
    <row r="26" spans="1:19" x14ac:dyDescent="0.25">
      <c r="A26" s="296"/>
      <c r="B26" s="296"/>
      <c r="C26" s="297"/>
      <c r="D26" s="297"/>
      <c r="E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97"/>
      <c r="S26" s="297"/>
    </row>
    <row r="27" spans="1:19" ht="39.65" customHeight="1" x14ac:dyDescent="0.25">
      <c r="A27" s="403"/>
      <c r="B27" s="1148"/>
      <c r="C27" s="1148"/>
      <c r="D27" s="1148"/>
      <c r="E27" s="1148"/>
      <c r="G27" s="297"/>
      <c r="H27" s="297"/>
      <c r="I27" s="297"/>
      <c r="J27" s="297"/>
      <c r="K27" s="297"/>
      <c r="L27" s="297"/>
      <c r="M27" s="297"/>
      <c r="N27" s="297"/>
      <c r="O27" s="297"/>
      <c r="P27" s="297"/>
      <c r="Q27" s="297"/>
      <c r="R27" s="297"/>
      <c r="S27" s="297"/>
    </row>
    <row r="28" spans="1:19" x14ac:dyDescent="0.25">
      <c r="A28" s="297"/>
      <c r="B28" s="434"/>
      <c r="C28" s="297"/>
      <c r="D28" s="297"/>
      <c r="E28" s="297"/>
      <c r="G28" s="297"/>
      <c r="H28" s="297"/>
      <c r="I28" s="297"/>
      <c r="J28" s="297"/>
      <c r="K28" s="297"/>
      <c r="L28" s="297"/>
      <c r="M28" s="297"/>
      <c r="N28" s="297"/>
      <c r="O28" s="297"/>
      <c r="P28" s="297"/>
      <c r="Q28" s="297"/>
      <c r="R28" s="297"/>
      <c r="S28" s="297"/>
    </row>
    <row r="29" spans="1:19" x14ac:dyDescent="0.25">
      <c r="A29" s="297"/>
      <c r="B29" s="434"/>
      <c r="C29" s="297"/>
      <c r="D29" s="297"/>
      <c r="E29" s="297"/>
      <c r="G29" s="297"/>
      <c r="H29" s="297"/>
      <c r="I29" s="297"/>
      <c r="J29" s="297"/>
      <c r="K29" s="297"/>
      <c r="L29" s="297"/>
      <c r="M29" s="297"/>
      <c r="N29" s="297"/>
      <c r="O29" s="297"/>
      <c r="P29" s="297"/>
      <c r="Q29" s="297"/>
      <c r="R29" s="297"/>
      <c r="S29" s="297"/>
    </row>
    <row r="30" spans="1:19" ht="14.25" customHeight="1" x14ac:dyDescent="0.25">
      <c r="A30" s="297"/>
      <c r="B30" s="297"/>
      <c r="C30" s="297"/>
      <c r="D30" s="297"/>
      <c r="E30" s="297"/>
      <c r="G30" s="297"/>
      <c r="H30" s="297"/>
      <c r="I30" s="297"/>
      <c r="J30" s="297"/>
      <c r="K30" s="297"/>
      <c r="L30" s="297"/>
      <c r="M30" s="297"/>
      <c r="N30" s="297"/>
      <c r="O30" s="297"/>
      <c r="P30" s="297"/>
      <c r="Q30" s="297"/>
      <c r="R30" s="297"/>
      <c r="S30" s="297"/>
    </row>
    <row r="31" spans="1:19" x14ac:dyDescent="0.25">
      <c r="A31" s="297"/>
      <c r="B31" s="297"/>
      <c r="C31" s="297"/>
      <c r="D31" s="297"/>
      <c r="E31" s="297"/>
      <c r="G31" s="297"/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7"/>
    </row>
    <row r="32" spans="1:19" x14ac:dyDescent="0.25">
      <c r="A32" s="297"/>
      <c r="B32" s="297"/>
      <c r="C32" s="297"/>
      <c r="D32" s="297"/>
      <c r="E32" s="297"/>
      <c r="G32" s="297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</row>
    <row r="33" spans="1:19" x14ac:dyDescent="0.25">
      <c r="A33" s="297"/>
      <c r="B33" s="297"/>
      <c r="C33" s="297"/>
      <c r="D33" s="297"/>
      <c r="E33" s="297"/>
      <c r="G33" s="297"/>
      <c r="H33" s="297"/>
      <c r="I33" s="297"/>
      <c r="J33" s="297"/>
      <c r="K33" s="297"/>
      <c r="L33" s="297"/>
      <c r="M33" s="297"/>
      <c r="N33" s="297"/>
      <c r="O33" s="297"/>
      <c r="P33" s="297"/>
      <c r="Q33" s="297"/>
      <c r="R33" s="297"/>
      <c r="S33" s="297"/>
    </row>
    <row r="34" spans="1:19" x14ac:dyDescent="0.25">
      <c r="A34" s="297"/>
      <c r="B34" s="297"/>
      <c r="C34" s="297"/>
      <c r="D34" s="297"/>
      <c r="E34" s="297"/>
      <c r="G34" s="297"/>
      <c r="H34" s="297"/>
      <c r="I34" s="297"/>
      <c r="J34" s="297"/>
      <c r="K34" s="297"/>
      <c r="L34" s="297"/>
      <c r="M34" s="297"/>
      <c r="N34" s="297"/>
      <c r="O34" s="297"/>
      <c r="P34" s="297"/>
      <c r="Q34" s="297"/>
      <c r="R34" s="297"/>
      <c r="S34" s="297"/>
    </row>
    <row r="35" spans="1:19" x14ac:dyDescent="0.25">
      <c r="A35" s="297"/>
      <c r="B35" s="297"/>
      <c r="C35" s="297"/>
      <c r="D35" s="297"/>
      <c r="E35" s="297"/>
      <c r="G35" s="297"/>
      <c r="H35" s="297"/>
      <c r="I35" s="297"/>
      <c r="J35" s="297"/>
      <c r="K35" s="297"/>
      <c r="L35" s="297"/>
      <c r="M35" s="297"/>
      <c r="N35" s="297"/>
      <c r="O35" s="297"/>
      <c r="P35" s="297"/>
      <c r="Q35" s="297"/>
      <c r="R35" s="297"/>
      <c r="S35" s="297"/>
    </row>
    <row r="36" spans="1:19" x14ac:dyDescent="0.25">
      <c r="A36" s="297"/>
      <c r="B36" s="297"/>
      <c r="C36" s="297"/>
      <c r="D36" s="297"/>
      <c r="E36" s="297"/>
      <c r="G36" s="297"/>
      <c r="H36" s="297"/>
      <c r="I36" s="297"/>
      <c r="J36" s="297"/>
      <c r="K36" s="297"/>
      <c r="L36" s="297"/>
      <c r="M36" s="297"/>
      <c r="N36" s="297"/>
      <c r="O36" s="297"/>
      <c r="P36" s="297"/>
      <c r="Q36" s="297"/>
      <c r="R36" s="297"/>
      <c r="S36" s="297"/>
    </row>
    <row r="37" spans="1:19" x14ac:dyDescent="0.25">
      <c r="A37" s="297"/>
      <c r="B37" s="297"/>
      <c r="C37" s="297"/>
      <c r="D37" s="297"/>
      <c r="E37" s="297"/>
      <c r="G37" s="297"/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7"/>
      <c r="S37" s="297"/>
    </row>
    <row r="38" spans="1:19" x14ac:dyDescent="0.25">
      <c r="A38" s="297"/>
      <c r="B38" s="297"/>
      <c r="C38" s="297"/>
      <c r="D38" s="297"/>
      <c r="E38" s="297"/>
      <c r="G38" s="297"/>
      <c r="H38" s="297"/>
      <c r="I38" s="297"/>
      <c r="J38" s="297"/>
      <c r="K38" s="297"/>
      <c r="L38" s="297"/>
      <c r="M38" s="297"/>
      <c r="N38" s="297"/>
      <c r="O38" s="297"/>
      <c r="P38" s="297"/>
      <c r="Q38" s="297"/>
      <c r="R38" s="297"/>
      <c r="S38" s="297"/>
    </row>
    <row r="39" spans="1:19" x14ac:dyDescent="0.25">
      <c r="A39" s="297"/>
      <c r="B39" s="297"/>
      <c r="C39" s="297"/>
      <c r="D39" s="297"/>
      <c r="E39" s="297"/>
      <c r="G39" s="297"/>
      <c r="H39" s="297"/>
      <c r="I39" s="297"/>
      <c r="J39" s="297"/>
      <c r="K39" s="297"/>
      <c r="L39" s="297"/>
      <c r="M39" s="297"/>
      <c r="N39" s="297"/>
      <c r="O39" s="297"/>
      <c r="P39" s="297"/>
      <c r="Q39" s="297"/>
      <c r="R39" s="297"/>
      <c r="S39" s="297"/>
    </row>
    <row r="40" spans="1:19" x14ac:dyDescent="0.25">
      <c r="A40" s="297"/>
      <c r="B40" s="297"/>
      <c r="C40" s="297"/>
      <c r="D40" s="297"/>
      <c r="E40" s="297"/>
      <c r="G40" s="297"/>
      <c r="H40" s="297"/>
      <c r="I40" s="297"/>
      <c r="J40" s="297"/>
      <c r="K40" s="297"/>
      <c r="L40" s="297"/>
      <c r="M40" s="297"/>
      <c r="N40" s="297"/>
      <c r="O40" s="297"/>
      <c r="P40" s="297"/>
      <c r="Q40" s="297"/>
      <c r="R40" s="297"/>
      <c r="S40" s="297"/>
    </row>
    <row r="41" spans="1:19" x14ac:dyDescent="0.25">
      <c r="A41" s="297"/>
      <c r="B41" s="297"/>
      <c r="C41" s="297"/>
      <c r="D41" s="297"/>
      <c r="E41" s="297"/>
      <c r="G41" s="297"/>
      <c r="H41" s="297"/>
      <c r="I41" s="297"/>
      <c r="J41" s="297"/>
      <c r="K41" s="297"/>
      <c r="L41" s="297"/>
      <c r="M41" s="297"/>
      <c r="N41" s="297"/>
      <c r="O41" s="297"/>
      <c r="P41" s="297"/>
      <c r="Q41" s="297"/>
      <c r="R41" s="297"/>
      <c r="S41" s="297"/>
    </row>
    <row r="42" spans="1:19" x14ac:dyDescent="0.25">
      <c r="A42" s="297"/>
      <c r="B42" s="297"/>
      <c r="C42" s="297"/>
      <c r="D42" s="297"/>
      <c r="E42" s="297"/>
      <c r="G42" s="297"/>
      <c r="H42" s="297"/>
      <c r="I42" s="297"/>
      <c r="J42" s="297"/>
      <c r="K42" s="297"/>
      <c r="L42" s="297"/>
      <c r="M42" s="297"/>
      <c r="N42" s="297"/>
      <c r="O42" s="297"/>
      <c r="P42" s="297"/>
      <c r="Q42" s="297"/>
      <c r="R42" s="297"/>
      <c r="S42" s="297"/>
    </row>
    <row r="43" spans="1:19" x14ac:dyDescent="0.25">
      <c r="A43" s="297"/>
      <c r="B43" s="297"/>
      <c r="C43" s="297"/>
      <c r="D43" s="297"/>
      <c r="E43" s="297"/>
      <c r="G43" s="297"/>
      <c r="H43" s="297"/>
      <c r="I43" s="297"/>
      <c r="J43" s="297"/>
      <c r="K43" s="297"/>
      <c r="L43" s="297"/>
      <c r="M43" s="297"/>
      <c r="N43" s="297"/>
      <c r="O43" s="297"/>
      <c r="P43" s="297"/>
      <c r="Q43" s="297"/>
      <c r="R43" s="297"/>
      <c r="S43" s="297"/>
    </row>
    <row r="44" spans="1:19" x14ac:dyDescent="0.25">
      <c r="A44" s="297"/>
      <c r="B44" s="297"/>
      <c r="C44" s="297"/>
      <c r="D44" s="297"/>
      <c r="E44" s="297"/>
      <c r="G44" s="297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7"/>
      <c r="S44" s="297"/>
    </row>
    <row r="45" spans="1:19" x14ac:dyDescent="0.25">
      <c r="A45" s="297"/>
      <c r="B45" s="297"/>
      <c r="C45" s="297"/>
      <c r="D45" s="297"/>
      <c r="E45" s="297"/>
      <c r="G45" s="297"/>
      <c r="H45" s="297"/>
      <c r="I45" s="297"/>
      <c r="J45" s="297"/>
      <c r="K45" s="297"/>
      <c r="L45" s="297"/>
      <c r="M45" s="297"/>
      <c r="N45" s="297"/>
      <c r="O45" s="297"/>
      <c r="P45" s="297"/>
      <c r="Q45" s="297"/>
      <c r="R45" s="297"/>
      <c r="S45" s="297"/>
    </row>
    <row r="46" spans="1:19" x14ac:dyDescent="0.25">
      <c r="A46" s="297"/>
      <c r="B46" s="297"/>
      <c r="C46" s="297"/>
      <c r="D46" s="297"/>
      <c r="E46" s="297"/>
      <c r="G46" s="297"/>
      <c r="H46" s="297"/>
      <c r="I46" s="297"/>
      <c r="J46" s="297"/>
      <c r="K46" s="297"/>
      <c r="L46" s="297"/>
      <c r="M46" s="297"/>
      <c r="N46" s="297"/>
      <c r="O46" s="297"/>
      <c r="P46" s="297"/>
      <c r="Q46" s="297"/>
      <c r="R46" s="297"/>
      <c r="S46" s="297"/>
    </row>
    <row r="47" spans="1:19" x14ac:dyDescent="0.25">
      <c r="A47" s="297"/>
      <c r="B47" s="297"/>
      <c r="C47" s="297"/>
      <c r="D47" s="297"/>
      <c r="E47" s="297"/>
      <c r="G47" s="297"/>
      <c r="H47" s="297"/>
      <c r="I47" s="297"/>
      <c r="J47" s="297"/>
      <c r="K47" s="297"/>
      <c r="L47" s="297"/>
      <c r="M47" s="297"/>
      <c r="N47" s="297"/>
      <c r="O47" s="297"/>
      <c r="P47" s="297"/>
      <c r="Q47" s="297"/>
      <c r="R47" s="297"/>
      <c r="S47" s="297"/>
    </row>
    <row r="48" spans="1:19" x14ac:dyDescent="0.25">
      <c r="A48" s="297"/>
      <c r="B48" s="297"/>
      <c r="C48" s="297"/>
      <c r="D48" s="297"/>
      <c r="E48" s="297"/>
      <c r="G48" s="297"/>
      <c r="H48" s="297"/>
      <c r="I48" s="297"/>
      <c r="J48" s="297"/>
      <c r="K48" s="297"/>
      <c r="L48" s="297"/>
      <c r="M48" s="297"/>
      <c r="N48" s="297"/>
      <c r="O48" s="297"/>
      <c r="P48" s="297"/>
      <c r="Q48" s="297"/>
      <c r="R48" s="297"/>
      <c r="S48" s="297"/>
    </row>
    <row r="49" spans="1:19" x14ac:dyDescent="0.25">
      <c r="A49" s="297"/>
      <c r="B49" s="297"/>
      <c r="C49" s="297"/>
      <c r="D49" s="297"/>
      <c r="E49" s="297"/>
      <c r="G49" s="297"/>
      <c r="H49" s="297"/>
      <c r="I49" s="297"/>
      <c r="J49" s="297"/>
      <c r="K49" s="297"/>
      <c r="L49" s="297"/>
      <c r="M49" s="297"/>
      <c r="N49" s="297"/>
      <c r="O49" s="297"/>
      <c r="P49" s="297"/>
      <c r="Q49" s="297"/>
      <c r="R49" s="297"/>
      <c r="S49" s="297"/>
    </row>
    <row r="50" spans="1:19" x14ac:dyDescent="0.25">
      <c r="A50" s="297"/>
      <c r="B50" s="297"/>
      <c r="C50" s="297"/>
      <c r="D50" s="297"/>
      <c r="E50" s="297"/>
      <c r="G50" s="297"/>
      <c r="H50" s="297"/>
      <c r="I50" s="297"/>
      <c r="J50" s="297"/>
      <c r="K50" s="297"/>
      <c r="L50" s="297"/>
      <c r="M50" s="297"/>
      <c r="N50" s="297"/>
      <c r="O50" s="297"/>
      <c r="P50" s="297"/>
      <c r="Q50" s="297"/>
      <c r="R50" s="297"/>
      <c r="S50" s="297"/>
    </row>
    <row r="51" spans="1:19" x14ac:dyDescent="0.25">
      <c r="A51" s="297"/>
      <c r="B51" s="297"/>
      <c r="C51" s="297"/>
      <c r="D51" s="297"/>
      <c r="E51" s="297"/>
      <c r="G51" s="297"/>
      <c r="H51" s="297"/>
      <c r="I51" s="297"/>
      <c r="J51" s="297"/>
      <c r="K51" s="297"/>
      <c r="L51" s="297"/>
      <c r="M51" s="297"/>
      <c r="N51" s="297"/>
      <c r="O51" s="297"/>
      <c r="P51" s="297"/>
      <c r="Q51" s="297"/>
      <c r="R51" s="297"/>
      <c r="S51" s="297"/>
    </row>
    <row r="52" spans="1:19" x14ac:dyDescent="0.25">
      <c r="A52" s="297"/>
      <c r="B52" s="297"/>
      <c r="C52" s="297"/>
      <c r="D52" s="297"/>
      <c r="E52" s="297"/>
      <c r="G52" s="297"/>
      <c r="H52" s="297"/>
      <c r="I52" s="297"/>
      <c r="J52" s="297"/>
      <c r="K52" s="297"/>
      <c r="L52" s="297"/>
      <c r="M52" s="297"/>
      <c r="N52" s="297"/>
      <c r="O52" s="297"/>
      <c r="P52" s="297"/>
      <c r="Q52" s="297"/>
      <c r="R52" s="297"/>
      <c r="S52" s="297"/>
    </row>
    <row r="53" spans="1:19" x14ac:dyDescent="0.25">
      <c r="A53" s="297"/>
      <c r="B53" s="297"/>
      <c r="C53" s="297"/>
      <c r="D53" s="297"/>
      <c r="E53" s="297"/>
      <c r="G53" s="297"/>
      <c r="H53" s="297"/>
      <c r="I53" s="297"/>
      <c r="J53" s="297"/>
      <c r="K53" s="297"/>
      <c r="L53" s="297"/>
      <c r="M53" s="297"/>
      <c r="N53" s="297"/>
      <c r="O53" s="297"/>
      <c r="P53" s="297"/>
      <c r="Q53" s="297"/>
      <c r="R53" s="297"/>
      <c r="S53" s="297"/>
    </row>
    <row r="54" spans="1:19" x14ac:dyDescent="0.25">
      <c r="A54" s="297"/>
      <c r="B54" s="297"/>
      <c r="C54" s="297"/>
      <c r="D54" s="297"/>
      <c r="E54" s="297"/>
      <c r="G54" s="297"/>
      <c r="H54" s="297"/>
      <c r="I54" s="297"/>
      <c r="J54" s="297"/>
      <c r="K54" s="297"/>
      <c r="L54" s="297"/>
      <c r="M54" s="297"/>
      <c r="N54" s="297"/>
      <c r="O54" s="297"/>
      <c r="P54" s="297"/>
      <c r="Q54" s="297"/>
      <c r="R54" s="297"/>
      <c r="S54" s="297"/>
    </row>
    <row r="55" spans="1:19" x14ac:dyDescent="0.25">
      <c r="A55" s="297"/>
      <c r="B55" s="297"/>
      <c r="C55" s="297"/>
      <c r="D55" s="297"/>
      <c r="E55" s="297"/>
      <c r="G55" s="297"/>
      <c r="H55" s="297"/>
      <c r="I55" s="297"/>
      <c r="J55" s="297"/>
      <c r="K55" s="297"/>
      <c r="L55" s="297"/>
      <c r="M55" s="297"/>
      <c r="N55" s="297"/>
      <c r="O55" s="297"/>
      <c r="P55" s="297"/>
      <c r="Q55" s="297"/>
      <c r="R55" s="297"/>
      <c r="S55" s="297"/>
    </row>
    <row r="56" spans="1:19" x14ac:dyDescent="0.25">
      <c r="A56" s="297"/>
      <c r="B56" s="297"/>
      <c r="C56" s="297"/>
      <c r="D56" s="297"/>
      <c r="E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</row>
    <row r="57" spans="1:19" x14ac:dyDescent="0.25">
      <c r="A57" s="297"/>
      <c r="B57" s="297"/>
      <c r="C57" s="297"/>
      <c r="D57" s="297"/>
      <c r="E57" s="297"/>
      <c r="G57" s="297"/>
      <c r="H57" s="297"/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7"/>
    </row>
    <row r="58" spans="1:19" x14ac:dyDescent="0.25">
      <c r="A58" s="297"/>
      <c r="B58" s="297"/>
      <c r="C58" s="297"/>
      <c r="D58" s="297"/>
      <c r="E58" s="297"/>
      <c r="G58" s="297"/>
      <c r="H58" s="297"/>
      <c r="I58" s="297"/>
      <c r="J58" s="297"/>
      <c r="K58" s="297"/>
      <c r="L58" s="297"/>
      <c r="M58" s="297"/>
      <c r="N58" s="297"/>
      <c r="O58" s="297"/>
      <c r="P58" s="297"/>
      <c r="Q58" s="297"/>
      <c r="R58" s="297"/>
      <c r="S58" s="297"/>
    </row>
    <row r="59" spans="1:19" x14ac:dyDescent="0.25">
      <c r="A59" s="297"/>
      <c r="B59" s="297"/>
      <c r="C59" s="297"/>
      <c r="D59" s="297"/>
      <c r="E59" s="297"/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297"/>
      <c r="S59" s="297"/>
    </row>
    <row r="60" spans="1:19" x14ac:dyDescent="0.25">
      <c r="A60" s="297"/>
      <c r="B60" s="297"/>
      <c r="C60" s="297"/>
      <c r="D60" s="297"/>
      <c r="E60" s="297"/>
      <c r="G60" s="297"/>
      <c r="H60" s="297"/>
      <c r="I60" s="297"/>
      <c r="J60" s="297"/>
      <c r="K60" s="297"/>
      <c r="L60" s="297"/>
      <c r="M60" s="297"/>
      <c r="N60" s="297"/>
      <c r="O60" s="297"/>
      <c r="P60" s="297"/>
      <c r="Q60" s="297"/>
      <c r="R60" s="297"/>
      <c r="S60" s="297"/>
    </row>
    <row r="61" spans="1:19" x14ac:dyDescent="0.25">
      <c r="A61" s="297"/>
      <c r="B61" s="297"/>
      <c r="C61" s="297"/>
      <c r="D61" s="297"/>
      <c r="E61" s="297"/>
      <c r="G61" s="297"/>
      <c r="H61" s="297"/>
      <c r="I61" s="297"/>
      <c r="J61" s="297"/>
      <c r="K61" s="297"/>
      <c r="L61" s="297"/>
      <c r="M61" s="297"/>
      <c r="N61" s="297"/>
      <c r="O61" s="297"/>
      <c r="P61" s="297"/>
      <c r="Q61" s="297"/>
      <c r="R61" s="297"/>
      <c r="S61" s="297"/>
    </row>
    <row r="62" spans="1:19" x14ac:dyDescent="0.25">
      <c r="A62" s="297"/>
      <c r="B62" s="297"/>
      <c r="C62" s="297"/>
      <c r="D62" s="297"/>
      <c r="E62" s="297"/>
      <c r="G62" s="297"/>
      <c r="H62" s="297"/>
      <c r="I62" s="297"/>
      <c r="J62" s="297"/>
      <c r="K62" s="297"/>
      <c r="L62" s="297"/>
      <c r="M62" s="297"/>
      <c r="N62" s="297"/>
      <c r="O62" s="297"/>
      <c r="P62" s="297"/>
      <c r="Q62" s="297"/>
      <c r="R62" s="297"/>
      <c r="S62" s="297"/>
    </row>
    <row r="63" spans="1:19" x14ac:dyDescent="0.25">
      <c r="A63" s="297"/>
      <c r="B63" s="297"/>
      <c r="C63" s="297"/>
      <c r="D63" s="297"/>
      <c r="E63" s="297"/>
      <c r="G63" s="297"/>
      <c r="H63" s="297"/>
      <c r="I63" s="297"/>
      <c r="J63" s="297"/>
      <c r="K63" s="297"/>
      <c r="L63" s="297"/>
      <c r="M63" s="297"/>
      <c r="N63" s="297"/>
      <c r="O63" s="297"/>
      <c r="P63" s="297"/>
      <c r="Q63" s="297"/>
      <c r="R63" s="297"/>
      <c r="S63" s="297"/>
    </row>
    <row r="64" spans="1:19" x14ac:dyDescent="0.25">
      <c r="A64" s="297"/>
      <c r="B64" s="297"/>
      <c r="C64" s="297"/>
      <c r="D64" s="297"/>
      <c r="E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</row>
    <row r="65" spans="1:19" x14ac:dyDescent="0.25">
      <c r="A65" s="297"/>
      <c r="B65" s="297"/>
      <c r="C65" s="297"/>
      <c r="D65" s="297"/>
      <c r="E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</row>
    <row r="66" spans="1:19" x14ac:dyDescent="0.25">
      <c r="A66" s="297"/>
      <c r="B66" s="297"/>
      <c r="C66" s="297"/>
      <c r="D66" s="297"/>
      <c r="E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  <c r="R66" s="297"/>
      <c r="S66" s="297"/>
    </row>
    <row r="67" spans="1:19" x14ac:dyDescent="0.25">
      <c r="A67" s="297"/>
      <c r="B67" s="297"/>
      <c r="C67" s="297"/>
      <c r="D67" s="297"/>
      <c r="E67" s="297"/>
      <c r="G67" s="297"/>
      <c r="H67" s="297"/>
      <c r="I67" s="297"/>
      <c r="J67" s="297"/>
      <c r="K67" s="297"/>
      <c r="L67" s="297"/>
      <c r="M67" s="297"/>
      <c r="N67" s="297"/>
      <c r="O67" s="297"/>
      <c r="P67" s="297"/>
      <c r="Q67" s="297"/>
      <c r="R67" s="297"/>
      <c r="S67" s="297"/>
    </row>
    <row r="68" spans="1:19" x14ac:dyDescent="0.25">
      <c r="A68" s="297"/>
      <c r="B68" s="297"/>
      <c r="C68" s="297"/>
      <c r="D68" s="297"/>
      <c r="E68" s="297"/>
      <c r="G68" s="297"/>
      <c r="H68" s="297"/>
      <c r="I68" s="297"/>
      <c r="J68" s="297"/>
      <c r="K68" s="297"/>
      <c r="L68" s="297"/>
      <c r="M68" s="297"/>
      <c r="N68" s="297"/>
      <c r="O68" s="297"/>
      <c r="P68" s="297"/>
      <c r="Q68" s="297"/>
      <c r="R68" s="297"/>
      <c r="S68" s="297"/>
    </row>
    <row r="69" spans="1:19" x14ac:dyDescent="0.25">
      <c r="A69" s="297"/>
      <c r="B69" s="297"/>
      <c r="C69" s="297"/>
      <c r="D69" s="297"/>
      <c r="E69" s="297"/>
      <c r="G69" s="297"/>
      <c r="H69" s="297"/>
      <c r="I69" s="297"/>
      <c r="J69" s="297"/>
      <c r="K69" s="297"/>
      <c r="L69" s="297"/>
      <c r="M69" s="297"/>
      <c r="N69" s="297"/>
      <c r="O69" s="297"/>
      <c r="P69" s="297"/>
      <c r="Q69" s="297"/>
      <c r="R69" s="297"/>
      <c r="S69" s="297"/>
    </row>
    <row r="70" spans="1:19" x14ac:dyDescent="0.25">
      <c r="A70" s="297"/>
      <c r="B70" s="297"/>
      <c r="C70" s="297"/>
      <c r="D70" s="297"/>
      <c r="E70" s="297"/>
      <c r="G70" s="297"/>
      <c r="H70" s="297"/>
      <c r="I70" s="297"/>
      <c r="J70" s="297"/>
      <c r="K70" s="297"/>
      <c r="L70" s="297"/>
      <c r="M70" s="297"/>
      <c r="N70" s="297"/>
      <c r="O70" s="297"/>
      <c r="P70" s="297"/>
      <c r="Q70" s="297"/>
      <c r="R70" s="297"/>
      <c r="S70" s="297"/>
    </row>
    <row r="71" spans="1:19" x14ac:dyDescent="0.25">
      <c r="A71" s="297"/>
      <c r="B71" s="297"/>
      <c r="C71" s="297"/>
      <c r="D71" s="297"/>
      <c r="E71" s="297"/>
      <c r="G71" s="297"/>
      <c r="H71" s="297"/>
      <c r="I71" s="297"/>
      <c r="J71" s="297"/>
      <c r="K71" s="297"/>
      <c r="L71" s="297"/>
      <c r="M71" s="297"/>
      <c r="N71" s="297"/>
      <c r="O71" s="297"/>
      <c r="P71" s="297"/>
      <c r="Q71" s="297"/>
      <c r="R71" s="297"/>
      <c r="S71" s="297"/>
    </row>
    <row r="72" spans="1:19" x14ac:dyDescent="0.25">
      <c r="A72" s="297"/>
      <c r="B72" s="297"/>
      <c r="C72" s="297"/>
      <c r="D72" s="297"/>
      <c r="E72" s="297"/>
      <c r="G72" s="297"/>
      <c r="H72" s="297"/>
      <c r="I72" s="297"/>
      <c r="J72" s="297"/>
      <c r="K72" s="297"/>
      <c r="L72" s="297"/>
      <c r="M72" s="297"/>
      <c r="N72" s="297"/>
      <c r="O72" s="297"/>
      <c r="P72" s="297"/>
      <c r="Q72" s="297"/>
      <c r="R72" s="297"/>
      <c r="S72" s="297"/>
    </row>
    <row r="73" spans="1:19" x14ac:dyDescent="0.25">
      <c r="A73" s="297"/>
      <c r="B73" s="297"/>
      <c r="C73" s="297"/>
      <c r="D73" s="297"/>
      <c r="E73" s="297"/>
      <c r="G73" s="297"/>
      <c r="H73" s="297"/>
      <c r="I73" s="297"/>
      <c r="J73" s="297"/>
      <c r="K73" s="297"/>
      <c r="L73" s="297"/>
      <c r="M73" s="297"/>
      <c r="N73" s="297"/>
      <c r="O73" s="297"/>
      <c r="P73" s="297"/>
      <c r="Q73" s="297"/>
      <c r="R73" s="297"/>
      <c r="S73" s="297"/>
    </row>
    <row r="74" spans="1:19" x14ac:dyDescent="0.25">
      <c r="A74" s="297"/>
      <c r="B74" s="297"/>
      <c r="C74" s="297"/>
      <c r="D74" s="297"/>
      <c r="E74" s="297"/>
      <c r="G74" s="297"/>
      <c r="H74" s="297"/>
      <c r="I74" s="297"/>
      <c r="J74" s="297"/>
      <c r="K74" s="297"/>
      <c r="L74" s="297"/>
      <c r="M74" s="297"/>
      <c r="N74" s="297"/>
      <c r="O74" s="297"/>
      <c r="P74" s="297"/>
      <c r="Q74" s="297"/>
      <c r="R74" s="297"/>
      <c r="S74" s="297"/>
    </row>
    <row r="75" spans="1:19" x14ac:dyDescent="0.25">
      <c r="A75" s="297"/>
      <c r="B75" s="297"/>
      <c r="C75" s="297"/>
      <c r="D75" s="297"/>
      <c r="E75" s="297"/>
      <c r="G75" s="297"/>
      <c r="H75" s="297"/>
      <c r="I75" s="297"/>
      <c r="J75" s="297"/>
      <c r="K75" s="297"/>
      <c r="L75" s="297"/>
      <c r="M75" s="297"/>
      <c r="N75" s="297"/>
      <c r="O75" s="297"/>
      <c r="P75" s="297"/>
      <c r="Q75" s="297"/>
      <c r="R75" s="297"/>
      <c r="S75" s="297"/>
    </row>
    <row r="76" spans="1:19" x14ac:dyDescent="0.25">
      <c r="A76" s="297"/>
      <c r="B76" s="297"/>
      <c r="C76" s="297"/>
      <c r="D76" s="297"/>
      <c r="E76" s="297"/>
      <c r="G76" s="297"/>
      <c r="H76" s="297"/>
      <c r="I76" s="297"/>
      <c r="J76" s="297"/>
      <c r="K76" s="297"/>
      <c r="L76" s="297"/>
      <c r="M76" s="297"/>
      <c r="N76" s="297"/>
      <c r="O76" s="297"/>
      <c r="P76" s="297"/>
      <c r="Q76" s="297"/>
      <c r="R76" s="297"/>
      <c r="S76" s="297"/>
    </row>
    <row r="77" spans="1:19" x14ac:dyDescent="0.25">
      <c r="A77" s="297"/>
      <c r="B77" s="297"/>
      <c r="C77" s="297"/>
      <c r="D77" s="297"/>
      <c r="E77" s="297"/>
      <c r="G77" s="297"/>
      <c r="H77" s="297"/>
      <c r="I77" s="297"/>
      <c r="J77" s="297"/>
      <c r="K77" s="297"/>
      <c r="L77" s="297"/>
      <c r="M77" s="297"/>
      <c r="N77" s="297"/>
      <c r="O77" s="297"/>
      <c r="P77" s="297"/>
      <c r="Q77" s="297"/>
      <c r="R77" s="297"/>
      <c r="S77" s="297"/>
    </row>
    <row r="78" spans="1:19" x14ac:dyDescent="0.25">
      <c r="A78" s="297"/>
      <c r="B78" s="297"/>
      <c r="C78" s="297"/>
      <c r="D78" s="297"/>
      <c r="E78" s="297"/>
      <c r="G78" s="297"/>
      <c r="H78" s="297"/>
      <c r="I78" s="297"/>
      <c r="J78" s="297"/>
      <c r="K78" s="297"/>
      <c r="L78" s="297"/>
      <c r="M78" s="297"/>
      <c r="N78" s="297"/>
      <c r="O78" s="297"/>
      <c r="P78" s="297"/>
      <c r="Q78" s="297"/>
      <c r="R78" s="297"/>
      <c r="S78" s="297"/>
    </row>
    <row r="79" spans="1:19" x14ac:dyDescent="0.25">
      <c r="A79" s="297"/>
      <c r="B79" s="297"/>
      <c r="C79" s="297"/>
      <c r="D79" s="297"/>
      <c r="E79" s="297"/>
      <c r="G79" s="297"/>
      <c r="H79" s="297"/>
      <c r="I79" s="297"/>
      <c r="J79" s="297"/>
      <c r="K79" s="297"/>
      <c r="L79" s="297"/>
      <c r="M79" s="297"/>
      <c r="N79" s="297"/>
      <c r="O79" s="297"/>
      <c r="P79" s="297"/>
      <c r="Q79" s="297"/>
      <c r="R79" s="297"/>
      <c r="S79" s="297"/>
    </row>
    <row r="80" spans="1:19" x14ac:dyDescent="0.25">
      <c r="A80" s="297"/>
      <c r="B80" s="297"/>
      <c r="C80" s="297"/>
      <c r="D80" s="297"/>
      <c r="E80" s="297"/>
      <c r="G80" s="297"/>
      <c r="H80" s="297"/>
      <c r="I80" s="297"/>
      <c r="J80" s="297"/>
      <c r="K80" s="297"/>
      <c r="L80" s="297"/>
      <c r="M80" s="297"/>
      <c r="N80" s="297"/>
      <c r="O80" s="297"/>
      <c r="P80" s="297"/>
      <c r="Q80" s="297"/>
      <c r="R80" s="297"/>
      <c r="S80" s="297"/>
    </row>
    <row r="81" spans="1:19" x14ac:dyDescent="0.25">
      <c r="A81" s="297"/>
      <c r="B81" s="297"/>
      <c r="C81" s="297"/>
      <c r="D81" s="297"/>
      <c r="E81" s="297"/>
      <c r="G81" s="297"/>
      <c r="H81" s="297"/>
      <c r="I81" s="297"/>
      <c r="J81" s="297"/>
      <c r="K81" s="297"/>
      <c r="L81" s="297"/>
      <c r="M81" s="297"/>
      <c r="N81" s="297"/>
      <c r="O81" s="297"/>
      <c r="P81" s="297"/>
      <c r="Q81" s="297"/>
      <c r="R81" s="297"/>
      <c r="S81" s="297"/>
    </row>
    <row r="82" spans="1:19" x14ac:dyDescent="0.25">
      <c r="A82" s="297"/>
      <c r="B82" s="297"/>
      <c r="C82" s="297"/>
      <c r="D82" s="297"/>
      <c r="E82" s="297"/>
      <c r="G82" s="297"/>
      <c r="H82" s="297"/>
      <c r="I82" s="297"/>
      <c r="J82" s="297"/>
      <c r="K82" s="297"/>
      <c r="L82" s="297"/>
      <c r="M82" s="297"/>
      <c r="N82" s="297"/>
      <c r="O82" s="297"/>
      <c r="P82" s="297"/>
      <c r="Q82" s="297"/>
      <c r="R82" s="297"/>
      <c r="S82" s="297"/>
    </row>
    <row r="83" spans="1:19" x14ac:dyDescent="0.25">
      <c r="A83" s="297"/>
      <c r="B83" s="297"/>
      <c r="C83" s="297"/>
      <c r="D83" s="297"/>
      <c r="E83" s="297"/>
      <c r="G83" s="297"/>
      <c r="H83" s="297"/>
      <c r="I83" s="297"/>
      <c r="J83" s="297"/>
      <c r="K83" s="297"/>
      <c r="L83" s="297"/>
      <c r="M83" s="297"/>
      <c r="N83" s="297"/>
      <c r="O83" s="297"/>
      <c r="P83" s="297"/>
      <c r="Q83" s="297"/>
      <c r="R83" s="297"/>
      <c r="S83" s="297"/>
    </row>
    <row r="84" spans="1:19" x14ac:dyDescent="0.25">
      <c r="A84" s="297"/>
      <c r="B84" s="297"/>
      <c r="C84" s="297"/>
      <c r="D84" s="297"/>
      <c r="E84" s="297"/>
      <c r="G84" s="297"/>
      <c r="H84" s="297"/>
      <c r="I84" s="297"/>
      <c r="J84" s="297"/>
      <c r="K84" s="297"/>
      <c r="L84" s="297"/>
      <c r="M84" s="297"/>
      <c r="N84" s="297"/>
      <c r="O84" s="297"/>
      <c r="P84" s="297"/>
      <c r="Q84" s="297"/>
      <c r="R84" s="297"/>
      <c r="S84" s="297"/>
    </row>
    <row r="85" spans="1:19" x14ac:dyDescent="0.25">
      <c r="A85" s="297"/>
      <c r="B85" s="297"/>
      <c r="C85" s="297"/>
      <c r="D85" s="297"/>
      <c r="E85" s="297"/>
      <c r="G85" s="297"/>
      <c r="H85" s="297"/>
      <c r="I85" s="297"/>
      <c r="J85" s="297"/>
      <c r="K85" s="297"/>
      <c r="L85" s="297"/>
      <c r="M85" s="297"/>
      <c r="N85" s="297"/>
      <c r="O85" s="297"/>
      <c r="P85" s="297"/>
      <c r="Q85" s="297"/>
      <c r="R85" s="297"/>
      <c r="S85" s="297"/>
    </row>
    <row r="86" spans="1:19" x14ac:dyDescent="0.25">
      <c r="A86" s="297"/>
      <c r="B86" s="297"/>
      <c r="C86" s="297"/>
      <c r="D86" s="297"/>
      <c r="E86" s="297"/>
      <c r="G86" s="297"/>
      <c r="H86" s="297"/>
      <c r="I86" s="297"/>
      <c r="J86" s="297"/>
      <c r="K86" s="297"/>
      <c r="L86" s="297"/>
      <c r="M86" s="297"/>
      <c r="N86" s="297"/>
      <c r="O86" s="297"/>
      <c r="P86" s="297"/>
      <c r="Q86" s="297"/>
      <c r="R86" s="297"/>
      <c r="S86" s="297"/>
    </row>
    <row r="87" spans="1:19" x14ac:dyDescent="0.25">
      <c r="A87" s="297"/>
      <c r="B87" s="297"/>
      <c r="C87" s="297"/>
      <c r="D87" s="297"/>
      <c r="E87" s="297"/>
      <c r="G87" s="297"/>
      <c r="H87" s="297"/>
      <c r="I87" s="297"/>
      <c r="J87" s="297"/>
      <c r="K87" s="297"/>
      <c r="L87" s="297"/>
      <c r="M87" s="297"/>
      <c r="N87" s="297"/>
      <c r="O87" s="297"/>
      <c r="P87" s="297"/>
      <c r="Q87" s="297"/>
      <c r="R87" s="297"/>
      <c r="S87" s="297"/>
    </row>
    <row r="88" spans="1:19" x14ac:dyDescent="0.25">
      <c r="A88" s="297"/>
      <c r="B88" s="297"/>
      <c r="C88" s="297"/>
      <c r="D88" s="297"/>
      <c r="E88" s="297"/>
      <c r="G88" s="297"/>
      <c r="H88" s="297"/>
      <c r="I88" s="297"/>
      <c r="J88" s="297"/>
      <c r="K88" s="297"/>
      <c r="L88" s="297"/>
      <c r="M88" s="297"/>
      <c r="N88" s="297"/>
      <c r="O88" s="297"/>
      <c r="P88" s="297"/>
      <c r="Q88" s="297"/>
      <c r="R88" s="297"/>
      <c r="S88" s="297"/>
    </row>
    <row r="89" spans="1:19" x14ac:dyDescent="0.25">
      <c r="A89" s="297"/>
      <c r="B89" s="297"/>
      <c r="C89" s="297"/>
      <c r="D89" s="297"/>
      <c r="E89" s="297"/>
      <c r="G89" s="297"/>
      <c r="H89" s="297"/>
      <c r="I89" s="297"/>
      <c r="J89" s="297"/>
      <c r="K89" s="297"/>
      <c r="L89" s="297"/>
      <c r="M89" s="297"/>
      <c r="N89" s="297"/>
      <c r="O89" s="297"/>
      <c r="P89" s="297"/>
      <c r="Q89" s="297"/>
      <c r="R89" s="297"/>
      <c r="S89" s="297"/>
    </row>
    <row r="90" spans="1:19" x14ac:dyDescent="0.25">
      <c r="A90" s="297"/>
      <c r="B90" s="297"/>
      <c r="C90" s="297"/>
      <c r="D90" s="297"/>
      <c r="E90" s="297"/>
      <c r="G90" s="297"/>
      <c r="H90" s="297"/>
      <c r="I90" s="297"/>
      <c r="J90" s="297"/>
      <c r="K90" s="297"/>
      <c r="L90" s="297"/>
      <c r="M90" s="297"/>
      <c r="N90" s="297"/>
      <c r="O90" s="297"/>
      <c r="P90" s="297"/>
      <c r="Q90" s="297"/>
      <c r="R90" s="297"/>
      <c r="S90" s="297"/>
    </row>
    <row r="91" spans="1:19" x14ac:dyDescent="0.25">
      <c r="A91" s="297"/>
      <c r="B91" s="297"/>
      <c r="C91" s="297"/>
      <c r="D91" s="297"/>
      <c r="E91" s="297"/>
      <c r="G91" s="297"/>
      <c r="H91" s="297"/>
      <c r="I91" s="297"/>
      <c r="J91" s="297"/>
      <c r="K91" s="297"/>
      <c r="L91" s="297"/>
      <c r="M91" s="297"/>
      <c r="N91" s="297"/>
      <c r="O91" s="297"/>
      <c r="P91" s="297"/>
      <c r="Q91" s="297"/>
      <c r="R91" s="297"/>
      <c r="S91" s="297"/>
    </row>
    <row r="92" spans="1:19" x14ac:dyDescent="0.25">
      <c r="A92" s="297"/>
      <c r="B92" s="297"/>
      <c r="C92" s="297"/>
      <c r="D92" s="297"/>
      <c r="E92" s="297"/>
      <c r="G92" s="297"/>
      <c r="H92" s="297"/>
      <c r="I92" s="297"/>
      <c r="J92" s="297"/>
      <c r="K92" s="297"/>
      <c r="L92" s="297"/>
      <c r="M92" s="297"/>
      <c r="N92" s="297"/>
      <c r="O92" s="297"/>
      <c r="P92" s="297"/>
      <c r="Q92" s="297"/>
      <c r="R92" s="297"/>
      <c r="S92" s="297"/>
    </row>
    <row r="93" spans="1:19" x14ac:dyDescent="0.25">
      <c r="A93" s="297"/>
      <c r="B93" s="297"/>
      <c r="C93" s="297"/>
      <c r="D93" s="297"/>
      <c r="E93" s="297"/>
      <c r="G93" s="297"/>
      <c r="H93" s="297"/>
      <c r="I93" s="297"/>
      <c r="J93" s="297"/>
      <c r="K93" s="297"/>
      <c r="L93" s="297"/>
      <c r="M93" s="297"/>
      <c r="N93" s="297"/>
      <c r="O93" s="297"/>
      <c r="P93" s="297"/>
      <c r="Q93" s="297"/>
      <c r="R93" s="297"/>
      <c r="S93" s="297"/>
    </row>
    <row r="94" spans="1:19" x14ac:dyDescent="0.25">
      <c r="A94" s="297"/>
      <c r="B94" s="297"/>
      <c r="C94" s="297"/>
      <c r="D94" s="297"/>
      <c r="E94" s="297"/>
      <c r="G94" s="297"/>
      <c r="H94" s="297"/>
      <c r="I94" s="297"/>
      <c r="J94" s="297"/>
      <c r="K94" s="297"/>
      <c r="L94" s="297"/>
      <c r="M94" s="297"/>
      <c r="N94" s="297"/>
      <c r="O94" s="297"/>
      <c r="P94" s="297"/>
      <c r="Q94" s="297"/>
      <c r="R94" s="297"/>
      <c r="S94" s="297"/>
    </row>
    <row r="95" spans="1:19" x14ac:dyDescent="0.25">
      <c r="A95" s="297"/>
      <c r="B95" s="297"/>
      <c r="C95" s="297"/>
      <c r="D95" s="297"/>
      <c r="E95" s="297"/>
      <c r="G95" s="297"/>
      <c r="H95" s="297"/>
      <c r="I95" s="297"/>
      <c r="J95" s="297"/>
      <c r="K95" s="297"/>
      <c r="L95" s="297"/>
      <c r="M95" s="297"/>
      <c r="N95" s="297"/>
      <c r="O95" s="297"/>
      <c r="P95" s="297"/>
      <c r="Q95" s="297"/>
      <c r="R95" s="297"/>
      <c r="S95" s="297"/>
    </row>
    <row r="96" spans="1:19" x14ac:dyDescent="0.25">
      <c r="A96" s="297"/>
      <c r="B96" s="297"/>
      <c r="C96" s="297"/>
      <c r="D96" s="297"/>
      <c r="E96" s="297"/>
      <c r="G96" s="297"/>
      <c r="H96" s="297"/>
      <c r="I96" s="297"/>
      <c r="J96" s="297"/>
      <c r="K96" s="297"/>
      <c r="L96" s="297"/>
      <c r="M96" s="297"/>
      <c r="N96" s="297"/>
      <c r="O96" s="297"/>
      <c r="P96" s="297"/>
      <c r="Q96" s="297"/>
      <c r="R96" s="297"/>
      <c r="S96" s="297"/>
    </row>
    <row r="97" spans="1:19" x14ac:dyDescent="0.25">
      <c r="A97" s="297"/>
      <c r="B97" s="297"/>
      <c r="C97" s="297"/>
      <c r="D97" s="297"/>
      <c r="E97" s="297"/>
      <c r="G97" s="297"/>
      <c r="H97" s="297"/>
      <c r="I97" s="297"/>
      <c r="J97" s="297"/>
      <c r="K97" s="297"/>
      <c r="L97" s="297"/>
      <c r="M97" s="297"/>
      <c r="N97" s="297"/>
      <c r="O97" s="297"/>
      <c r="P97" s="297"/>
      <c r="Q97" s="297"/>
      <c r="R97" s="297"/>
      <c r="S97" s="297"/>
    </row>
    <row r="98" spans="1:19" x14ac:dyDescent="0.25">
      <c r="A98" s="297"/>
      <c r="B98" s="297"/>
      <c r="C98" s="297"/>
      <c r="D98" s="297"/>
      <c r="E98" s="297"/>
      <c r="G98" s="297"/>
      <c r="H98" s="297"/>
      <c r="I98" s="297"/>
      <c r="J98" s="297"/>
      <c r="K98" s="297"/>
      <c r="L98" s="297"/>
      <c r="M98" s="297"/>
      <c r="N98" s="297"/>
      <c r="O98" s="297"/>
      <c r="P98" s="297"/>
      <c r="Q98" s="297"/>
      <c r="R98" s="297"/>
      <c r="S98" s="297"/>
    </row>
    <row r="99" spans="1:19" x14ac:dyDescent="0.25">
      <c r="A99" s="297"/>
      <c r="B99" s="297"/>
      <c r="C99" s="297"/>
      <c r="D99" s="297"/>
      <c r="E99" s="297"/>
      <c r="G99" s="297"/>
      <c r="H99" s="297"/>
      <c r="I99" s="297"/>
      <c r="J99" s="297"/>
      <c r="K99" s="297"/>
      <c r="L99" s="297"/>
      <c r="M99" s="297"/>
      <c r="N99" s="297"/>
      <c r="O99" s="297"/>
      <c r="P99" s="297"/>
      <c r="Q99" s="297"/>
      <c r="R99" s="297"/>
      <c r="S99" s="297"/>
    </row>
    <row r="100" spans="1:19" x14ac:dyDescent="0.25">
      <c r="A100" s="297"/>
      <c r="B100" s="297"/>
      <c r="C100" s="297"/>
      <c r="D100" s="297"/>
      <c r="E100" s="297"/>
      <c r="G100" s="297"/>
      <c r="H100" s="297"/>
      <c r="I100" s="297"/>
      <c r="J100" s="297"/>
      <c r="K100" s="297"/>
      <c r="L100" s="297"/>
      <c r="M100" s="297"/>
      <c r="N100" s="297"/>
      <c r="O100" s="297"/>
      <c r="P100" s="297"/>
      <c r="Q100" s="297"/>
      <c r="R100" s="297"/>
      <c r="S100" s="297"/>
    </row>
    <row r="101" spans="1:19" x14ac:dyDescent="0.25">
      <c r="A101" s="297"/>
      <c r="B101" s="297"/>
      <c r="C101" s="297"/>
      <c r="D101" s="297"/>
      <c r="E101" s="297"/>
      <c r="G101" s="297"/>
      <c r="H101" s="297"/>
      <c r="I101" s="297"/>
      <c r="J101" s="297"/>
      <c r="K101" s="297"/>
      <c r="L101" s="297"/>
      <c r="M101" s="297"/>
      <c r="N101" s="297"/>
      <c r="O101" s="297"/>
      <c r="P101" s="297"/>
      <c r="Q101" s="297"/>
      <c r="R101" s="297"/>
      <c r="S101" s="297"/>
    </row>
    <row r="102" spans="1:19" x14ac:dyDescent="0.25">
      <c r="A102" s="297"/>
      <c r="B102" s="297"/>
      <c r="C102" s="297"/>
      <c r="D102" s="297"/>
      <c r="E102" s="297"/>
      <c r="G102" s="297"/>
      <c r="H102" s="297"/>
      <c r="I102" s="297"/>
      <c r="J102" s="297"/>
      <c r="K102" s="297"/>
      <c r="L102" s="297"/>
      <c r="M102" s="297"/>
      <c r="N102" s="297"/>
      <c r="O102" s="297"/>
      <c r="P102" s="297"/>
      <c r="Q102" s="297"/>
      <c r="R102" s="297"/>
      <c r="S102" s="297"/>
    </row>
    <row r="103" spans="1:19" x14ac:dyDescent="0.25">
      <c r="A103" s="297"/>
      <c r="B103" s="297"/>
      <c r="C103" s="297"/>
      <c r="D103" s="297"/>
      <c r="E103" s="297"/>
      <c r="G103" s="297"/>
      <c r="H103" s="297"/>
      <c r="I103" s="297"/>
      <c r="J103" s="297"/>
      <c r="K103" s="297"/>
      <c r="L103" s="297"/>
      <c r="M103" s="297"/>
      <c r="N103" s="297"/>
      <c r="O103" s="297"/>
      <c r="P103" s="297"/>
      <c r="Q103" s="297"/>
      <c r="R103" s="297"/>
      <c r="S103" s="297"/>
    </row>
    <row r="104" spans="1:19" x14ac:dyDescent="0.25">
      <c r="A104" s="297"/>
      <c r="B104" s="297"/>
      <c r="C104" s="297"/>
      <c r="D104" s="297"/>
      <c r="E104" s="297"/>
      <c r="G104" s="297"/>
      <c r="H104" s="297"/>
      <c r="I104" s="297"/>
      <c r="J104" s="297"/>
      <c r="K104" s="297"/>
      <c r="L104" s="297"/>
      <c r="M104" s="297"/>
      <c r="N104" s="297"/>
      <c r="O104" s="297"/>
      <c r="P104" s="297"/>
      <c r="Q104" s="297"/>
      <c r="R104" s="297"/>
      <c r="S104" s="297"/>
    </row>
    <row r="105" spans="1:19" x14ac:dyDescent="0.25">
      <c r="A105" s="297"/>
      <c r="B105" s="297"/>
      <c r="C105" s="297"/>
      <c r="D105" s="297"/>
      <c r="E105" s="297"/>
      <c r="G105" s="297"/>
      <c r="H105" s="297"/>
      <c r="I105" s="297"/>
      <c r="J105" s="297"/>
      <c r="K105" s="297"/>
      <c r="L105" s="297"/>
      <c r="M105" s="297"/>
      <c r="N105" s="297"/>
      <c r="O105" s="297"/>
      <c r="P105" s="297"/>
      <c r="Q105" s="297"/>
      <c r="R105" s="297"/>
      <c r="S105" s="297"/>
    </row>
    <row r="106" spans="1:19" x14ac:dyDescent="0.25">
      <c r="A106" s="297"/>
      <c r="B106" s="297"/>
      <c r="C106" s="297"/>
      <c r="D106" s="297"/>
      <c r="E106" s="297"/>
      <c r="G106" s="297"/>
      <c r="H106" s="297"/>
      <c r="I106" s="297"/>
      <c r="J106" s="297"/>
      <c r="K106" s="297"/>
      <c r="L106" s="297"/>
      <c r="M106" s="297"/>
      <c r="N106" s="297"/>
      <c r="O106" s="297"/>
      <c r="P106" s="297"/>
      <c r="Q106" s="297"/>
      <c r="R106" s="297"/>
      <c r="S106" s="297"/>
    </row>
    <row r="107" spans="1:19" x14ac:dyDescent="0.25">
      <c r="A107" s="297"/>
      <c r="B107" s="297"/>
      <c r="C107" s="297"/>
      <c r="D107" s="297"/>
      <c r="E107" s="297"/>
      <c r="G107" s="297"/>
      <c r="H107" s="297"/>
      <c r="I107" s="297"/>
      <c r="J107" s="297"/>
      <c r="K107" s="297"/>
      <c r="L107" s="297"/>
      <c r="M107" s="297"/>
      <c r="N107" s="297"/>
      <c r="O107" s="297"/>
      <c r="P107" s="297"/>
      <c r="Q107" s="297"/>
      <c r="R107" s="297"/>
      <c r="S107" s="297"/>
    </row>
    <row r="108" spans="1:19" x14ac:dyDescent="0.25">
      <c r="A108" s="297"/>
      <c r="B108" s="297"/>
      <c r="C108" s="297"/>
      <c r="D108" s="297"/>
      <c r="E108" s="297"/>
      <c r="G108" s="297"/>
      <c r="H108" s="297"/>
      <c r="I108" s="297"/>
      <c r="J108" s="297"/>
      <c r="K108" s="297"/>
      <c r="L108" s="297"/>
      <c r="M108" s="297"/>
      <c r="N108" s="297"/>
      <c r="O108" s="297"/>
      <c r="P108" s="297"/>
      <c r="Q108" s="297"/>
      <c r="R108" s="297"/>
      <c r="S108" s="297"/>
    </row>
    <row r="109" spans="1:19" x14ac:dyDescent="0.25">
      <c r="A109" s="297"/>
      <c r="B109" s="297"/>
      <c r="C109" s="297"/>
      <c r="D109" s="297"/>
      <c r="E109" s="297"/>
      <c r="G109" s="297"/>
      <c r="H109" s="297"/>
      <c r="I109" s="297"/>
      <c r="J109" s="297"/>
      <c r="K109" s="297"/>
      <c r="L109" s="297"/>
      <c r="M109" s="297"/>
      <c r="N109" s="297"/>
      <c r="O109" s="297"/>
      <c r="P109" s="297"/>
      <c r="Q109" s="297"/>
      <c r="R109" s="297"/>
      <c r="S109" s="297"/>
    </row>
    <row r="110" spans="1:19" x14ac:dyDescent="0.25">
      <c r="A110" s="297"/>
      <c r="B110" s="297"/>
      <c r="C110" s="297"/>
      <c r="D110" s="297"/>
      <c r="E110" s="297"/>
      <c r="G110" s="297"/>
      <c r="H110" s="297"/>
      <c r="I110" s="297"/>
      <c r="J110" s="297"/>
      <c r="K110" s="297"/>
      <c r="L110" s="297"/>
      <c r="M110" s="297"/>
      <c r="N110" s="297"/>
      <c r="O110" s="297"/>
      <c r="P110" s="297"/>
      <c r="Q110" s="297"/>
      <c r="R110" s="297"/>
      <c r="S110" s="297"/>
    </row>
    <row r="111" spans="1:19" x14ac:dyDescent="0.25">
      <c r="A111" s="297"/>
      <c r="B111" s="297"/>
      <c r="C111" s="297"/>
      <c r="D111" s="297"/>
      <c r="E111" s="297"/>
      <c r="G111" s="297"/>
      <c r="H111" s="297"/>
      <c r="I111" s="297"/>
      <c r="J111" s="297"/>
      <c r="K111" s="297"/>
      <c r="L111" s="297"/>
      <c r="M111" s="297"/>
      <c r="N111" s="297"/>
      <c r="O111" s="297"/>
      <c r="P111" s="297"/>
      <c r="Q111" s="297"/>
      <c r="R111" s="297"/>
      <c r="S111" s="297"/>
    </row>
    <row r="112" spans="1:19" x14ac:dyDescent="0.25">
      <c r="A112" s="297"/>
      <c r="B112" s="297"/>
      <c r="C112" s="297"/>
      <c r="D112" s="297"/>
      <c r="E112" s="297"/>
      <c r="G112" s="297"/>
      <c r="H112" s="297"/>
      <c r="I112" s="297"/>
      <c r="J112" s="297"/>
      <c r="K112" s="297"/>
      <c r="L112" s="297"/>
      <c r="M112" s="297"/>
      <c r="N112" s="297"/>
      <c r="O112" s="297"/>
      <c r="P112" s="297"/>
      <c r="Q112" s="297"/>
      <c r="R112" s="297"/>
      <c r="S112" s="297"/>
    </row>
    <row r="113" spans="1:19" x14ac:dyDescent="0.25">
      <c r="A113" s="297"/>
      <c r="B113" s="297"/>
      <c r="C113" s="297"/>
      <c r="D113" s="297"/>
      <c r="E113" s="297"/>
      <c r="G113" s="297"/>
      <c r="H113" s="297"/>
      <c r="I113" s="297"/>
      <c r="J113" s="297"/>
      <c r="K113" s="297"/>
      <c r="L113" s="297"/>
      <c r="M113" s="297"/>
      <c r="N113" s="297"/>
      <c r="O113" s="297"/>
      <c r="P113" s="297"/>
      <c r="Q113" s="297"/>
      <c r="R113" s="297"/>
      <c r="S113" s="297"/>
    </row>
    <row r="114" spans="1:19" x14ac:dyDescent="0.25">
      <c r="A114" s="297"/>
      <c r="B114" s="297"/>
      <c r="C114" s="297"/>
      <c r="D114" s="297"/>
      <c r="E114" s="297"/>
      <c r="G114" s="297"/>
      <c r="H114" s="297"/>
      <c r="I114" s="297"/>
      <c r="J114" s="297"/>
      <c r="K114" s="297"/>
      <c r="L114" s="297"/>
      <c r="M114" s="297"/>
      <c r="N114" s="297"/>
      <c r="O114" s="297"/>
      <c r="P114" s="297"/>
      <c r="Q114" s="297"/>
      <c r="R114" s="297"/>
      <c r="S114" s="297"/>
    </row>
    <row r="115" spans="1:19" x14ac:dyDescent="0.25">
      <c r="A115" s="297"/>
      <c r="B115" s="297"/>
      <c r="C115" s="297"/>
      <c r="D115" s="297"/>
      <c r="E115" s="297"/>
      <c r="G115" s="297"/>
      <c r="H115" s="297"/>
      <c r="I115" s="297"/>
      <c r="J115" s="297"/>
      <c r="K115" s="297"/>
      <c r="L115" s="297"/>
      <c r="M115" s="297"/>
      <c r="N115" s="297"/>
      <c r="O115" s="297"/>
      <c r="P115" s="297"/>
      <c r="Q115" s="297"/>
      <c r="R115" s="297"/>
      <c r="S115" s="297"/>
    </row>
    <row r="116" spans="1:19" x14ac:dyDescent="0.25">
      <c r="A116" s="297"/>
      <c r="B116" s="297"/>
      <c r="C116" s="297"/>
      <c r="D116" s="297"/>
      <c r="E116" s="297"/>
      <c r="G116" s="297"/>
      <c r="H116" s="297"/>
      <c r="I116" s="297"/>
      <c r="J116" s="297"/>
      <c r="K116" s="297"/>
      <c r="L116" s="297"/>
      <c r="M116" s="297"/>
      <c r="N116" s="297"/>
      <c r="O116" s="297"/>
      <c r="P116" s="297"/>
      <c r="Q116" s="297"/>
      <c r="R116" s="297"/>
      <c r="S116" s="297"/>
    </row>
    <row r="117" spans="1:19" x14ac:dyDescent="0.25">
      <c r="A117" s="297"/>
      <c r="B117" s="297"/>
      <c r="C117" s="297"/>
      <c r="D117" s="297"/>
      <c r="E117" s="297"/>
      <c r="G117" s="297"/>
      <c r="H117" s="297"/>
      <c r="I117" s="297"/>
      <c r="J117" s="297"/>
      <c r="K117" s="297"/>
      <c r="L117" s="297"/>
      <c r="M117" s="297"/>
      <c r="N117" s="297"/>
      <c r="O117" s="297"/>
      <c r="P117" s="297"/>
      <c r="Q117" s="297"/>
      <c r="R117" s="297"/>
      <c r="S117" s="297"/>
    </row>
    <row r="118" spans="1:19" x14ac:dyDescent="0.25">
      <c r="A118" s="297"/>
      <c r="B118" s="297"/>
      <c r="C118" s="297"/>
      <c r="D118" s="297"/>
      <c r="E118" s="297"/>
      <c r="G118" s="297"/>
      <c r="H118" s="297"/>
      <c r="I118" s="297"/>
      <c r="J118" s="297"/>
      <c r="K118" s="297"/>
      <c r="L118" s="297"/>
      <c r="M118" s="297"/>
      <c r="N118" s="297"/>
      <c r="O118" s="297"/>
      <c r="P118" s="297"/>
      <c r="Q118" s="297"/>
      <c r="R118" s="297"/>
      <c r="S118" s="297"/>
    </row>
    <row r="119" spans="1:19" x14ac:dyDescent="0.25">
      <c r="A119" s="297"/>
      <c r="B119" s="297"/>
      <c r="C119" s="297"/>
      <c r="D119" s="297"/>
      <c r="E119" s="297"/>
      <c r="G119" s="297"/>
      <c r="H119" s="297"/>
      <c r="I119" s="297"/>
      <c r="J119" s="297"/>
      <c r="K119" s="297"/>
      <c r="L119" s="297"/>
      <c r="M119" s="297"/>
      <c r="N119" s="297"/>
      <c r="O119" s="297"/>
      <c r="P119" s="297"/>
      <c r="Q119" s="297"/>
      <c r="R119" s="297"/>
      <c r="S119" s="297"/>
    </row>
    <row r="120" spans="1:19" x14ac:dyDescent="0.25">
      <c r="A120" s="297"/>
      <c r="B120" s="297"/>
      <c r="C120" s="297"/>
      <c r="D120" s="297"/>
      <c r="E120" s="297"/>
      <c r="G120" s="297"/>
      <c r="H120" s="297"/>
      <c r="I120" s="297"/>
      <c r="J120" s="297"/>
      <c r="K120" s="297"/>
      <c r="L120" s="297"/>
      <c r="M120" s="297"/>
      <c r="N120" s="297"/>
      <c r="O120" s="297"/>
      <c r="P120" s="297"/>
      <c r="Q120" s="297"/>
      <c r="R120" s="297"/>
      <c r="S120" s="297"/>
    </row>
    <row r="121" spans="1:19" x14ac:dyDescent="0.25">
      <c r="A121" s="297"/>
      <c r="B121" s="297"/>
      <c r="C121" s="297"/>
      <c r="D121" s="297"/>
      <c r="E121" s="297"/>
      <c r="G121" s="297"/>
      <c r="H121" s="297"/>
      <c r="I121" s="297"/>
      <c r="J121" s="297"/>
      <c r="K121" s="297"/>
      <c r="L121" s="297"/>
      <c r="M121" s="297"/>
      <c r="N121" s="297"/>
      <c r="O121" s="297"/>
      <c r="P121" s="297"/>
      <c r="Q121" s="297"/>
      <c r="R121" s="297"/>
      <c r="S121" s="297"/>
    </row>
    <row r="122" spans="1:19" x14ac:dyDescent="0.25">
      <c r="A122" s="297"/>
      <c r="B122" s="297"/>
      <c r="C122" s="297"/>
      <c r="D122" s="297"/>
      <c r="E122" s="297"/>
      <c r="G122" s="297"/>
      <c r="H122" s="297"/>
      <c r="I122" s="297"/>
      <c r="J122" s="297"/>
      <c r="K122" s="297"/>
      <c r="L122" s="297"/>
      <c r="M122" s="297"/>
      <c r="N122" s="297"/>
      <c r="O122" s="297"/>
      <c r="P122" s="297"/>
      <c r="Q122" s="297"/>
      <c r="R122" s="297"/>
      <c r="S122" s="297"/>
    </row>
    <row r="123" spans="1:19" x14ac:dyDescent="0.25">
      <c r="A123" s="297"/>
      <c r="B123" s="297"/>
      <c r="C123" s="297"/>
      <c r="D123" s="297"/>
      <c r="E123" s="297"/>
      <c r="G123" s="297"/>
      <c r="H123" s="297"/>
      <c r="I123" s="297"/>
      <c r="J123" s="297"/>
      <c r="K123" s="297"/>
      <c r="L123" s="297"/>
      <c r="M123" s="297"/>
      <c r="N123" s="297"/>
      <c r="O123" s="297"/>
      <c r="P123" s="297"/>
      <c r="Q123" s="297"/>
      <c r="R123" s="297"/>
      <c r="S123" s="297"/>
    </row>
    <row r="124" spans="1:19" x14ac:dyDescent="0.25">
      <c r="A124" s="297"/>
      <c r="B124" s="297"/>
      <c r="C124" s="297"/>
      <c r="D124" s="297"/>
      <c r="E124" s="297"/>
      <c r="G124" s="297"/>
      <c r="H124" s="297"/>
      <c r="I124" s="297"/>
      <c r="J124" s="297"/>
      <c r="K124" s="297"/>
      <c r="L124" s="297"/>
      <c r="M124" s="297"/>
      <c r="N124" s="297"/>
      <c r="O124" s="297"/>
      <c r="P124" s="297"/>
      <c r="Q124" s="297"/>
      <c r="R124" s="297"/>
      <c r="S124" s="297"/>
    </row>
    <row r="125" spans="1:19" x14ac:dyDescent="0.25">
      <c r="A125" s="297"/>
      <c r="B125" s="297"/>
      <c r="C125" s="297"/>
      <c r="D125" s="297"/>
      <c r="E125" s="297"/>
      <c r="G125" s="297"/>
      <c r="H125" s="297"/>
      <c r="I125" s="297"/>
      <c r="J125" s="297"/>
      <c r="K125" s="297"/>
      <c r="L125" s="297"/>
      <c r="M125" s="297"/>
      <c r="N125" s="297"/>
      <c r="O125" s="297"/>
      <c r="P125" s="297"/>
      <c r="Q125" s="297"/>
      <c r="R125" s="297"/>
      <c r="S125" s="297"/>
    </row>
    <row r="126" spans="1:19" x14ac:dyDescent="0.25">
      <c r="A126" s="297"/>
      <c r="B126" s="297"/>
      <c r="C126" s="297"/>
      <c r="D126" s="297"/>
      <c r="E126" s="297"/>
      <c r="G126" s="297"/>
      <c r="H126" s="297"/>
      <c r="I126" s="297"/>
      <c r="J126" s="297"/>
      <c r="K126" s="297"/>
      <c r="L126" s="297"/>
      <c r="M126" s="297"/>
      <c r="N126" s="297"/>
      <c r="O126" s="297"/>
      <c r="P126" s="297"/>
      <c r="Q126" s="297"/>
      <c r="R126" s="297"/>
      <c r="S126" s="297"/>
    </row>
    <row r="127" spans="1:19" x14ac:dyDescent="0.25">
      <c r="A127" s="297"/>
      <c r="B127" s="297"/>
      <c r="C127" s="297"/>
      <c r="D127" s="297"/>
      <c r="E127" s="297"/>
      <c r="G127" s="297"/>
      <c r="H127" s="297"/>
      <c r="I127" s="297"/>
      <c r="J127" s="297"/>
      <c r="K127" s="297"/>
      <c r="L127" s="297"/>
      <c r="M127" s="297"/>
      <c r="N127" s="297"/>
      <c r="O127" s="297"/>
      <c r="P127" s="297"/>
      <c r="Q127" s="297"/>
      <c r="R127" s="297"/>
      <c r="S127" s="297"/>
    </row>
    <row r="128" spans="1:19" x14ac:dyDescent="0.25">
      <c r="A128" s="297"/>
      <c r="B128" s="297"/>
      <c r="C128" s="297"/>
      <c r="D128" s="297"/>
      <c r="E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</row>
    <row r="129" spans="1:19" x14ac:dyDescent="0.25">
      <c r="A129" s="297"/>
      <c r="B129" s="297"/>
      <c r="C129" s="297"/>
      <c r="D129" s="297"/>
      <c r="E129" s="297"/>
      <c r="G129" s="297"/>
      <c r="H129" s="297"/>
      <c r="I129" s="297"/>
      <c r="J129" s="297"/>
      <c r="K129" s="297"/>
      <c r="L129" s="297"/>
      <c r="M129" s="297"/>
      <c r="N129" s="297"/>
      <c r="O129" s="297"/>
      <c r="P129" s="297"/>
      <c r="Q129" s="297"/>
      <c r="R129" s="297"/>
      <c r="S129" s="297"/>
    </row>
    <row r="130" spans="1:19" x14ac:dyDescent="0.25">
      <c r="A130" s="297"/>
      <c r="B130" s="297"/>
      <c r="C130" s="297"/>
      <c r="D130" s="297"/>
      <c r="E130" s="297"/>
      <c r="G130" s="297"/>
      <c r="H130" s="297"/>
      <c r="I130" s="297"/>
      <c r="J130" s="297"/>
      <c r="K130" s="297"/>
      <c r="L130" s="297"/>
      <c r="M130" s="297"/>
      <c r="N130" s="297"/>
      <c r="O130" s="297"/>
      <c r="P130" s="297"/>
      <c r="Q130" s="297"/>
      <c r="R130" s="297"/>
      <c r="S130" s="297"/>
    </row>
    <row r="131" spans="1:19" x14ac:dyDescent="0.25">
      <c r="A131" s="297"/>
      <c r="B131" s="297"/>
      <c r="C131" s="297"/>
      <c r="D131" s="297"/>
      <c r="E131" s="297"/>
      <c r="G131" s="297"/>
      <c r="H131" s="297"/>
      <c r="I131" s="297"/>
      <c r="J131" s="297"/>
      <c r="K131" s="297"/>
      <c r="L131" s="297"/>
      <c r="M131" s="297"/>
      <c r="N131" s="297"/>
      <c r="O131" s="297"/>
      <c r="P131" s="297"/>
      <c r="Q131" s="297"/>
      <c r="R131" s="297"/>
      <c r="S131" s="297"/>
    </row>
    <row r="132" spans="1:19" x14ac:dyDescent="0.25">
      <c r="A132" s="297"/>
      <c r="B132" s="297"/>
      <c r="C132" s="297"/>
      <c r="D132" s="297"/>
      <c r="E132" s="297"/>
      <c r="G132" s="297"/>
      <c r="H132" s="297"/>
      <c r="I132" s="297"/>
      <c r="J132" s="297"/>
      <c r="K132" s="297"/>
      <c r="L132" s="297"/>
      <c r="M132" s="297"/>
      <c r="N132" s="297"/>
      <c r="O132" s="297"/>
      <c r="P132" s="297"/>
      <c r="Q132" s="297"/>
      <c r="R132" s="297"/>
      <c r="S132" s="297"/>
    </row>
    <row r="133" spans="1:19" x14ac:dyDescent="0.25">
      <c r="A133" s="297"/>
      <c r="B133" s="297"/>
      <c r="C133" s="297"/>
      <c r="D133" s="297"/>
      <c r="E133" s="297"/>
      <c r="G133" s="297"/>
      <c r="H133" s="297"/>
      <c r="I133" s="297"/>
      <c r="J133" s="297"/>
      <c r="K133" s="297"/>
      <c r="L133" s="297"/>
      <c r="M133" s="297"/>
      <c r="N133" s="297"/>
      <c r="O133" s="297"/>
      <c r="P133" s="297"/>
      <c r="Q133" s="297"/>
      <c r="R133" s="297"/>
      <c r="S133" s="297"/>
    </row>
    <row r="134" spans="1:19" x14ac:dyDescent="0.25">
      <c r="A134" s="297"/>
      <c r="B134" s="297"/>
      <c r="C134" s="297"/>
      <c r="D134" s="297"/>
      <c r="E134" s="297"/>
      <c r="G134" s="297"/>
      <c r="H134" s="297"/>
      <c r="I134" s="297"/>
      <c r="J134" s="297"/>
      <c r="K134" s="297"/>
      <c r="L134" s="297"/>
      <c r="M134" s="297"/>
      <c r="N134" s="297"/>
      <c r="O134" s="297"/>
      <c r="P134" s="297"/>
      <c r="Q134" s="297"/>
      <c r="R134" s="297"/>
      <c r="S134" s="297"/>
    </row>
    <row r="135" spans="1:19" x14ac:dyDescent="0.25">
      <c r="A135" s="297"/>
      <c r="B135" s="297"/>
      <c r="C135" s="297"/>
      <c r="D135" s="297"/>
      <c r="E135" s="297"/>
      <c r="G135" s="297"/>
      <c r="H135" s="297"/>
      <c r="I135" s="297"/>
      <c r="J135" s="297"/>
      <c r="K135" s="297"/>
      <c r="L135" s="297"/>
      <c r="M135" s="297"/>
      <c r="N135" s="297"/>
      <c r="O135" s="297"/>
      <c r="P135" s="297"/>
      <c r="Q135" s="297"/>
      <c r="R135" s="297"/>
      <c r="S135" s="297"/>
    </row>
    <row r="136" spans="1:19" x14ac:dyDescent="0.25">
      <c r="A136" s="297"/>
      <c r="B136" s="297"/>
      <c r="C136" s="297"/>
      <c r="D136" s="297"/>
      <c r="E136" s="297"/>
      <c r="G136" s="297"/>
      <c r="H136" s="297"/>
      <c r="I136" s="297"/>
      <c r="J136" s="297"/>
      <c r="K136" s="297"/>
      <c r="L136" s="297"/>
      <c r="M136" s="297"/>
      <c r="N136" s="297"/>
      <c r="O136" s="297"/>
      <c r="P136" s="297"/>
      <c r="Q136" s="297"/>
      <c r="R136" s="297"/>
      <c r="S136" s="297"/>
    </row>
    <row r="137" spans="1:19" x14ac:dyDescent="0.25">
      <c r="A137" s="297"/>
      <c r="B137" s="297"/>
      <c r="C137" s="297"/>
      <c r="D137" s="297"/>
      <c r="E137" s="297"/>
      <c r="G137" s="297"/>
      <c r="H137" s="297"/>
      <c r="I137" s="297"/>
      <c r="J137" s="297"/>
      <c r="K137" s="297"/>
      <c r="L137" s="297"/>
      <c r="M137" s="297"/>
      <c r="N137" s="297"/>
      <c r="O137" s="297"/>
      <c r="P137" s="297"/>
      <c r="Q137" s="297"/>
      <c r="R137" s="297"/>
      <c r="S137" s="297"/>
    </row>
    <row r="138" spans="1:19" x14ac:dyDescent="0.25">
      <c r="A138" s="297"/>
      <c r="B138" s="297"/>
      <c r="C138" s="297"/>
      <c r="D138" s="297"/>
      <c r="E138" s="297"/>
      <c r="G138" s="297"/>
      <c r="H138" s="297"/>
      <c r="I138" s="297"/>
      <c r="J138" s="297"/>
      <c r="K138" s="297"/>
      <c r="L138" s="297"/>
      <c r="M138" s="297"/>
      <c r="N138" s="297"/>
      <c r="O138" s="297"/>
      <c r="P138" s="297"/>
      <c r="Q138" s="297"/>
      <c r="R138" s="297"/>
      <c r="S138" s="297"/>
    </row>
    <row r="139" spans="1:19" x14ac:dyDescent="0.25">
      <c r="A139" s="297"/>
      <c r="B139" s="297"/>
      <c r="C139" s="297"/>
      <c r="D139" s="297"/>
      <c r="E139" s="297"/>
      <c r="G139" s="297"/>
      <c r="H139" s="297"/>
      <c r="I139" s="297"/>
      <c r="J139" s="297"/>
      <c r="K139" s="297"/>
      <c r="L139" s="297"/>
      <c r="M139" s="297"/>
      <c r="N139" s="297"/>
      <c r="O139" s="297"/>
      <c r="P139" s="297"/>
      <c r="Q139" s="297"/>
      <c r="R139" s="297"/>
      <c r="S139" s="297"/>
    </row>
    <row r="140" spans="1:19" x14ac:dyDescent="0.25">
      <c r="A140" s="297"/>
      <c r="B140" s="297"/>
      <c r="C140" s="297"/>
      <c r="D140" s="297"/>
      <c r="E140" s="297"/>
      <c r="G140" s="297"/>
      <c r="H140" s="297"/>
      <c r="I140" s="297"/>
      <c r="J140" s="297"/>
      <c r="K140" s="297"/>
      <c r="L140" s="297"/>
      <c r="M140" s="297"/>
      <c r="N140" s="297"/>
      <c r="O140" s="297"/>
      <c r="P140" s="297"/>
      <c r="Q140" s="297"/>
      <c r="R140" s="297"/>
      <c r="S140" s="297"/>
    </row>
    <row r="141" spans="1:19" x14ac:dyDescent="0.25">
      <c r="A141" s="297"/>
      <c r="B141" s="297"/>
      <c r="C141" s="297"/>
      <c r="D141" s="297"/>
      <c r="E141" s="297"/>
      <c r="G141" s="297"/>
      <c r="H141" s="297"/>
      <c r="I141" s="297"/>
      <c r="J141" s="297"/>
      <c r="K141" s="297"/>
      <c r="L141" s="297"/>
      <c r="M141" s="297"/>
      <c r="N141" s="297"/>
      <c r="O141" s="297"/>
      <c r="P141" s="297"/>
      <c r="Q141" s="297"/>
      <c r="R141" s="297"/>
      <c r="S141" s="297"/>
    </row>
    <row r="142" spans="1:19" x14ac:dyDescent="0.25">
      <c r="A142" s="297"/>
      <c r="B142" s="297"/>
      <c r="C142" s="297"/>
      <c r="D142" s="297"/>
      <c r="E142" s="297"/>
      <c r="G142" s="297"/>
      <c r="H142" s="297"/>
      <c r="I142" s="297"/>
      <c r="J142" s="297"/>
      <c r="K142" s="297"/>
      <c r="L142" s="297"/>
      <c r="M142" s="297"/>
      <c r="N142" s="297"/>
      <c r="O142" s="297"/>
      <c r="P142" s="297"/>
      <c r="Q142" s="297"/>
      <c r="R142" s="297"/>
      <c r="S142" s="297"/>
    </row>
    <row r="143" spans="1:19" x14ac:dyDescent="0.25">
      <c r="A143" s="297"/>
      <c r="B143" s="297"/>
      <c r="C143" s="297"/>
      <c r="D143" s="297"/>
      <c r="E143" s="297"/>
      <c r="G143" s="297"/>
      <c r="H143" s="297"/>
      <c r="I143" s="297"/>
      <c r="J143" s="297"/>
      <c r="K143" s="297"/>
      <c r="L143" s="297"/>
      <c r="M143" s="297"/>
      <c r="N143" s="297"/>
      <c r="O143" s="297"/>
      <c r="P143" s="297"/>
      <c r="Q143" s="297"/>
      <c r="R143" s="297"/>
      <c r="S143" s="297"/>
    </row>
    <row r="144" spans="1:19" x14ac:dyDescent="0.25">
      <c r="A144" s="297"/>
      <c r="B144" s="297"/>
      <c r="C144" s="297"/>
      <c r="D144" s="297"/>
      <c r="E144" s="297"/>
      <c r="G144" s="297"/>
      <c r="H144" s="297"/>
      <c r="I144" s="297"/>
      <c r="J144" s="297"/>
      <c r="K144" s="297"/>
      <c r="L144" s="297"/>
      <c r="M144" s="297"/>
      <c r="N144" s="297"/>
      <c r="O144" s="297"/>
      <c r="P144" s="297"/>
      <c r="Q144" s="297"/>
      <c r="R144" s="297"/>
      <c r="S144" s="297"/>
    </row>
    <row r="145" spans="1:19" x14ac:dyDescent="0.25">
      <c r="A145" s="297"/>
      <c r="B145" s="297"/>
      <c r="C145" s="297"/>
      <c r="D145" s="297"/>
      <c r="E145" s="297"/>
      <c r="G145" s="297"/>
      <c r="H145" s="297"/>
      <c r="I145" s="297"/>
      <c r="J145" s="297"/>
      <c r="K145" s="297"/>
      <c r="L145" s="297"/>
      <c r="M145" s="297"/>
      <c r="N145" s="297"/>
      <c r="O145" s="297"/>
      <c r="P145" s="297"/>
      <c r="Q145" s="297"/>
      <c r="R145" s="297"/>
      <c r="S145" s="297"/>
    </row>
    <row r="146" spans="1:19" x14ac:dyDescent="0.25">
      <c r="A146" s="297"/>
      <c r="B146" s="297"/>
      <c r="C146" s="297"/>
      <c r="D146" s="297"/>
      <c r="E146" s="297"/>
      <c r="G146" s="297"/>
      <c r="H146" s="297"/>
      <c r="I146" s="297"/>
      <c r="J146" s="297"/>
      <c r="K146" s="297"/>
      <c r="L146" s="297"/>
      <c r="M146" s="297"/>
      <c r="N146" s="297"/>
      <c r="O146" s="297"/>
      <c r="P146" s="297"/>
      <c r="Q146" s="297"/>
      <c r="R146" s="297"/>
      <c r="S146" s="297"/>
    </row>
    <row r="147" spans="1:19" x14ac:dyDescent="0.25">
      <c r="A147" s="297"/>
      <c r="B147" s="297"/>
      <c r="C147" s="297"/>
      <c r="D147" s="297"/>
      <c r="E147" s="297"/>
      <c r="G147" s="297"/>
      <c r="H147" s="297"/>
      <c r="I147" s="297"/>
      <c r="J147" s="297"/>
      <c r="K147" s="297"/>
      <c r="L147" s="297"/>
      <c r="M147" s="297"/>
      <c r="N147" s="297"/>
      <c r="O147" s="297"/>
      <c r="P147" s="297"/>
      <c r="Q147" s="297"/>
      <c r="R147" s="297"/>
      <c r="S147" s="297"/>
    </row>
    <row r="148" spans="1:19" x14ac:dyDescent="0.25">
      <c r="A148" s="297"/>
      <c r="B148" s="297"/>
      <c r="C148" s="297"/>
      <c r="D148" s="297"/>
      <c r="E148" s="297"/>
      <c r="G148" s="297"/>
      <c r="H148" s="297"/>
      <c r="I148" s="297"/>
      <c r="J148" s="297"/>
      <c r="K148" s="297"/>
      <c r="L148" s="297"/>
      <c r="M148" s="297"/>
      <c r="N148" s="297"/>
      <c r="O148" s="297"/>
      <c r="P148" s="297"/>
      <c r="Q148" s="297"/>
      <c r="R148" s="297"/>
      <c r="S148" s="297"/>
    </row>
    <row r="149" spans="1:19" x14ac:dyDescent="0.25">
      <c r="A149" s="297"/>
      <c r="B149" s="297"/>
      <c r="C149" s="297"/>
      <c r="D149" s="297"/>
      <c r="E149" s="297"/>
      <c r="G149" s="297"/>
      <c r="H149" s="297"/>
      <c r="I149" s="297"/>
      <c r="J149" s="297"/>
      <c r="K149" s="297"/>
      <c r="L149" s="297"/>
      <c r="M149" s="297"/>
      <c r="N149" s="297"/>
      <c r="O149" s="297"/>
      <c r="P149" s="297"/>
      <c r="Q149" s="297"/>
      <c r="R149" s="297"/>
      <c r="S149" s="297"/>
    </row>
    <row r="150" spans="1:19" x14ac:dyDescent="0.25">
      <c r="A150" s="297"/>
      <c r="B150" s="297"/>
      <c r="C150" s="297"/>
      <c r="D150" s="297"/>
      <c r="E150" s="297"/>
      <c r="G150" s="297"/>
      <c r="H150" s="297"/>
      <c r="I150" s="297"/>
      <c r="J150" s="297"/>
      <c r="K150" s="297"/>
      <c r="L150" s="297"/>
      <c r="M150" s="297"/>
      <c r="N150" s="297"/>
      <c r="O150" s="297"/>
      <c r="P150" s="297"/>
      <c r="Q150" s="297"/>
      <c r="R150" s="297"/>
      <c r="S150" s="297"/>
    </row>
    <row r="151" spans="1:19" x14ac:dyDescent="0.25">
      <c r="A151" s="297"/>
      <c r="B151" s="297"/>
      <c r="C151" s="297"/>
      <c r="D151" s="297"/>
      <c r="E151" s="297"/>
      <c r="G151" s="297"/>
      <c r="H151" s="297"/>
      <c r="I151" s="297"/>
      <c r="J151" s="297"/>
      <c r="K151" s="297"/>
      <c r="L151" s="297"/>
      <c r="M151" s="297"/>
      <c r="N151" s="297"/>
      <c r="O151" s="297"/>
      <c r="P151" s="297"/>
      <c r="Q151" s="297"/>
      <c r="R151" s="297"/>
      <c r="S151" s="297"/>
    </row>
    <row r="152" spans="1:19" x14ac:dyDescent="0.25">
      <c r="A152" s="297"/>
      <c r="B152" s="297"/>
      <c r="C152" s="297"/>
      <c r="D152" s="297"/>
      <c r="E152" s="297"/>
      <c r="G152" s="297"/>
      <c r="H152" s="297"/>
      <c r="I152" s="297"/>
      <c r="J152" s="297"/>
      <c r="K152" s="297"/>
      <c r="L152" s="297"/>
      <c r="M152" s="297"/>
      <c r="N152" s="297"/>
      <c r="O152" s="297"/>
      <c r="P152" s="297"/>
      <c r="Q152" s="297"/>
      <c r="R152" s="297"/>
      <c r="S152" s="297"/>
    </row>
    <row r="153" spans="1:19" x14ac:dyDescent="0.25">
      <c r="A153" s="297"/>
      <c r="B153" s="297"/>
      <c r="C153" s="297"/>
      <c r="D153" s="297"/>
      <c r="E153" s="297"/>
      <c r="G153" s="297"/>
      <c r="H153" s="297"/>
      <c r="I153" s="297"/>
      <c r="J153" s="297"/>
      <c r="K153" s="297"/>
      <c r="L153" s="297"/>
      <c r="M153" s="297"/>
      <c r="N153" s="297"/>
      <c r="O153" s="297"/>
      <c r="P153" s="297"/>
      <c r="Q153" s="297"/>
      <c r="R153" s="297"/>
      <c r="S153" s="297"/>
    </row>
    <row r="154" spans="1:19" x14ac:dyDescent="0.25">
      <c r="A154" s="297"/>
      <c r="B154" s="297"/>
      <c r="C154" s="297"/>
      <c r="D154" s="297"/>
      <c r="E154" s="297"/>
      <c r="G154" s="297"/>
      <c r="H154" s="297"/>
      <c r="I154" s="297"/>
      <c r="J154" s="297"/>
      <c r="K154" s="297"/>
      <c r="L154" s="297"/>
      <c r="M154" s="297"/>
      <c r="N154" s="297"/>
      <c r="O154" s="297"/>
      <c r="P154" s="297"/>
      <c r="Q154" s="297"/>
      <c r="R154" s="297"/>
      <c r="S154" s="297"/>
    </row>
    <row r="155" spans="1:19" x14ac:dyDescent="0.25">
      <c r="A155" s="297"/>
      <c r="B155" s="297"/>
      <c r="C155" s="297"/>
      <c r="D155" s="297"/>
      <c r="E155" s="297"/>
      <c r="G155" s="297"/>
      <c r="H155" s="297"/>
      <c r="I155" s="297"/>
      <c r="J155" s="297"/>
      <c r="K155" s="297"/>
      <c r="L155" s="297"/>
      <c r="M155" s="297"/>
      <c r="N155" s="297"/>
      <c r="O155" s="297"/>
      <c r="P155" s="297"/>
      <c r="Q155" s="297"/>
      <c r="R155" s="297"/>
      <c r="S155" s="297"/>
    </row>
    <row r="156" spans="1:19" x14ac:dyDescent="0.25">
      <c r="A156" s="297"/>
      <c r="B156" s="297"/>
      <c r="C156" s="297"/>
      <c r="D156" s="297"/>
      <c r="E156" s="297"/>
      <c r="G156" s="297"/>
      <c r="H156" s="297"/>
      <c r="I156" s="297"/>
      <c r="J156" s="297"/>
      <c r="K156" s="297"/>
      <c r="L156" s="297"/>
      <c r="M156" s="297"/>
      <c r="N156" s="297"/>
      <c r="O156" s="297"/>
      <c r="P156" s="297"/>
      <c r="Q156" s="297"/>
      <c r="R156" s="297"/>
      <c r="S156" s="297"/>
    </row>
    <row r="157" spans="1:19" x14ac:dyDescent="0.25">
      <c r="A157" s="297"/>
      <c r="B157" s="297"/>
      <c r="C157" s="297"/>
      <c r="D157" s="297"/>
      <c r="E157" s="297"/>
      <c r="G157" s="297"/>
      <c r="H157" s="297"/>
      <c r="I157" s="297"/>
      <c r="J157" s="297"/>
      <c r="K157" s="297"/>
      <c r="L157" s="297"/>
      <c r="M157" s="297"/>
      <c r="N157" s="297"/>
      <c r="O157" s="297"/>
      <c r="P157" s="297"/>
      <c r="Q157" s="297"/>
      <c r="R157" s="297"/>
      <c r="S157" s="297"/>
    </row>
    <row r="158" spans="1:19" x14ac:dyDescent="0.25">
      <c r="A158" s="297"/>
      <c r="B158" s="297"/>
      <c r="C158" s="297"/>
      <c r="D158" s="297"/>
      <c r="E158" s="297"/>
      <c r="G158" s="297"/>
      <c r="H158" s="297"/>
      <c r="I158" s="297"/>
      <c r="J158" s="297"/>
      <c r="K158" s="297"/>
      <c r="L158" s="297"/>
      <c r="M158" s="297"/>
      <c r="N158" s="297"/>
      <c r="O158" s="297"/>
      <c r="P158" s="297"/>
      <c r="Q158" s="297"/>
      <c r="R158" s="297"/>
      <c r="S158" s="297"/>
    </row>
    <row r="159" spans="1:19" x14ac:dyDescent="0.25">
      <c r="A159" s="297"/>
      <c r="B159" s="297"/>
      <c r="C159" s="297"/>
      <c r="D159" s="297"/>
      <c r="E159" s="297"/>
      <c r="G159" s="297"/>
      <c r="H159" s="297"/>
      <c r="I159" s="297"/>
      <c r="J159" s="297"/>
      <c r="K159" s="297"/>
      <c r="L159" s="297"/>
      <c r="M159" s="297"/>
      <c r="N159" s="297"/>
      <c r="O159" s="297"/>
      <c r="P159" s="297"/>
      <c r="Q159" s="297"/>
      <c r="R159" s="297"/>
      <c r="S159" s="297"/>
    </row>
    <row r="160" spans="1:19" x14ac:dyDescent="0.25">
      <c r="A160" s="297"/>
      <c r="B160" s="297"/>
      <c r="C160" s="297"/>
      <c r="D160" s="297"/>
      <c r="E160" s="297"/>
      <c r="G160" s="297"/>
      <c r="H160" s="297"/>
      <c r="I160" s="297"/>
      <c r="J160" s="297"/>
      <c r="K160" s="297"/>
      <c r="L160" s="297"/>
      <c r="M160" s="297"/>
      <c r="N160" s="297"/>
      <c r="O160" s="297"/>
      <c r="P160" s="297"/>
      <c r="Q160" s="297"/>
      <c r="R160" s="297"/>
      <c r="S160" s="297"/>
    </row>
    <row r="161" spans="1:19" x14ac:dyDescent="0.25">
      <c r="A161" s="297"/>
      <c r="B161" s="297"/>
      <c r="C161" s="297"/>
      <c r="D161" s="297"/>
      <c r="E161" s="297"/>
      <c r="G161" s="297"/>
      <c r="H161" s="297"/>
      <c r="I161" s="297"/>
      <c r="J161" s="297"/>
      <c r="K161" s="297"/>
      <c r="L161" s="297"/>
      <c r="M161" s="297"/>
      <c r="N161" s="297"/>
      <c r="O161" s="297"/>
      <c r="P161" s="297"/>
      <c r="Q161" s="297"/>
      <c r="R161" s="297"/>
      <c r="S161" s="297"/>
    </row>
    <row r="162" spans="1:19" x14ac:dyDescent="0.25">
      <c r="A162" s="297"/>
      <c r="B162" s="297"/>
      <c r="C162" s="297"/>
      <c r="D162" s="297"/>
      <c r="E162" s="297"/>
      <c r="G162" s="297"/>
      <c r="H162" s="297"/>
      <c r="I162" s="297"/>
      <c r="J162" s="297"/>
      <c r="K162" s="297"/>
      <c r="L162" s="297"/>
      <c r="M162" s="297"/>
      <c r="N162" s="297"/>
      <c r="O162" s="297"/>
      <c r="P162" s="297"/>
      <c r="Q162" s="297"/>
      <c r="R162" s="297"/>
      <c r="S162" s="297"/>
    </row>
    <row r="163" spans="1:19" x14ac:dyDescent="0.25">
      <c r="A163" s="297"/>
      <c r="B163" s="297"/>
      <c r="C163" s="297"/>
      <c r="D163" s="297"/>
      <c r="E163" s="297"/>
      <c r="G163" s="297"/>
      <c r="H163" s="297"/>
      <c r="I163" s="297"/>
      <c r="J163" s="297"/>
      <c r="K163" s="297"/>
      <c r="L163" s="297"/>
      <c r="M163" s="297"/>
      <c r="N163" s="297"/>
      <c r="O163" s="297"/>
      <c r="P163" s="297"/>
      <c r="Q163" s="297"/>
      <c r="R163" s="297"/>
      <c r="S163" s="297"/>
    </row>
    <row r="164" spans="1:19" x14ac:dyDescent="0.25">
      <c r="A164" s="297"/>
      <c r="B164" s="297"/>
      <c r="C164" s="297"/>
      <c r="D164" s="297"/>
      <c r="E164" s="297"/>
      <c r="G164" s="297"/>
      <c r="H164" s="297"/>
      <c r="I164" s="297"/>
      <c r="J164" s="297"/>
      <c r="K164" s="297"/>
      <c r="L164" s="297"/>
      <c r="M164" s="297"/>
      <c r="N164" s="297"/>
      <c r="O164" s="297"/>
      <c r="P164" s="297"/>
      <c r="Q164" s="297"/>
      <c r="R164" s="297"/>
      <c r="S164" s="297"/>
    </row>
    <row r="165" spans="1:19" x14ac:dyDescent="0.25">
      <c r="A165" s="297"/>
      <c r="B165" s="297"/>
      <c r="C165" s="297"/>
      <c r="D165" s="297"/>
      <c r="E165" s="297"/>
      <c r="G165" s="297"/>
      <c r="H165" s="297"/>
      <c r="I165" s="297"/>
      <c r="J165" s="297"/>
      <c r="K165" s="297"/>
      <c r="L165" s="297"/>
      <c r="M165" s="297"/>
      <c r="N165" s="297"/>
      <c r="O165" s="297"/>
      <c r="P165" s="297"/>
      <c r="Q165" s="297"/>
      <c r="R165" s="297"/>
      <c r="S165" s="297"/>
    </row>
    <row r="166" spans="1:19" x14ac:dyDescent="0.25">
      <c r="A166" s="297"/>
      <c r="B166" s="297"/>
      <c r="C166" s="297"/>
      <c r="D166" s="297"/>
      <c r="E166" s="297"/>
      <c r="G166" s="297"/>
      <c r="H166" s="297"/>
      <c r="I166" s="297"/>
      <c r="J166" s="297"/>
      <c r="K166" s="297"/>
      <c r="L166" s="297"/>
      <c r="M166" s="297"/>
      <c r="N166" s="297"/>
      <c r="O166" s="297"/>
      <c r="P166" s="297"/>
      <c r="Q166" s="297"/>
      <c r="R166" s="297"/>
      <c r="S166" s="297"/>
    </row>
    <row r="167" spans="1:19" x14ac:dyDescent="0.25">
      <c r="A167" s="297"/>
      <c r="B167" s="297"/>
      <c r="C167" s="297"/>
      <c r="D167" s="297"/>
      <c r="E167" s="297"/>
      <c r="G167" s="297"/>
      <c r="H167" s="297"/>
      <c r="I167" s="297"/>
      <c r="J167" s="297"/>
      <c r="K167" s="297"/>
      <c r="L167" s="297"/>
      <c r="M167" s="297"/>
      <c r="N167" s="297"/>
      <c r="O167" s="297"/>
      <c r="P167" s="297"/>
      <c r="Q167" s="297"/>
      <c r="R167" s="297"/>
      <c r="S167" s="297"/>
    </row>
    <row r="168" spans="1:19" x14ac:dyDescent="0.25">
      <c r="A168" s="297"/>
      <c r="B168" s="297"/>
      <c r="C168" s="297"/>
      <c r="D168" s="297"/>
      <c r="E168" s="297"/>
      <c r="G168" s="297"/>
      <c r="H168" s="297"/>
      <c r="I168" s="297"/>
      <c r="J168" s="297"/>
      <c r="K168" s="297"/>
      <c r="L168" s="297"/>
      <c r="M168" s="297"/>
      <c r="N168" s="297"/>
      <c r="O168" s="297"/>
      <c r="P168" s="297"/>
      <c r="Q168" s="297"/>
      <c r="R168" s="297"/>
      <c r="S168" s="297"/>
    </row>
    <row r="169" spans="1:19" x14ac:dyDescent="0.25">
      <c r="A169" s="297"/>
      <c r="B169" s="297"/>
      <c r="C169" s="297"/>
      <c r="D169" s="297"/>
      <c r="E169" s="297"/>
      <c r="G169" s="297"/>
      <c r="H169" s="297"/>
      <c r="I169" s="297"/>
      <c r="J169" s="297"/>
      <c r="K169" s="297"/>
      <c r="L169" s="297"/>
      <c r="M169" s="297"/>
      <c r="N169" s="297"/>
      <c r="O169" s="297"/>
      <c r="P169" s="297"/>
      <c r="Q169" s="297"/>
      <c r="R169" s="297"/>
      <c r="S169" s="297"/>
    </row>
    <row r="170" spans="1:19" x14ac:dyDescent="0.25">
      <c r="A170" s="297"/>
      <c r="B170" s="297"/>
      <c r="C170" s="297"/>
      <c r="D170" s="297"/>
      <c r="E170" s="297"/>
      <c r="G170" s="297"/>
      <c r="H170" s="297"/>
      <c r="I170" s="297"/>
      <c r="J170" s="297"/>
      <c r="K170" s="297"/>
      <c r="L170" s="297"/>
      <c r="M170" s="297"/>
      <c r="N170" s="297"/>
      <c r="O170" s="297"/>
      <c r="P170" s="297"/>
      <c r="Q170" s="297"/>
      <c r="R170" s="297"/>
      <c r="S170" s="297"/>
    </row>
    <row r="171" spans="1:19" x14ac:dyDescent="0.25">
      <c r="A171" s="297"/>
      <c r="B171" s="297"/>
      <c r="C171" s="297"/>
      <c r="D171" s="297"/>
      <c r="E171" s="297"/>
      <c r="G171" s="297"/>
      <c r="H171" s="297"/>
      <c r="I171" s="297"/>
      <c r="J171" s="297"/>
      <c r="K171" s="297"/>
      <c r="L171" s="297"/>
      <c r="M171" s="297"/>
      <c r="N171" s="297"/>
      <c r="O171" s="297"/>
      <c r="P171" s="297"/>
      <c r="Q171" s="297"/>
      <c r="R171" s="297"/>
      <c r="S171" s="297"/>
    </row>
    <row r="172" spans="1:19" x14ac:dyDescent="0.25">
      <c r="A172" s="297"/>
      <c r="B172" s="297"/>
      <c r="C172" s="297"/>
      <c r="D172" s="297"/>
      <c r="E172" s="297"/>
      <c r="G172" s="297"/>
      <c r="H172" s="297"/>
      <c r="I172" s="297"/>
      <c r="J172" s="297"/>
      <c r="K172" s="297"/>
      <c r="L172" s="297"/>
      <c r="M172" s="297"/>
      <c r="N172" s="297"/>
      <c r="O172" s="297"/>
      <c r="P172" s="297"/>
      <c r="Q172" s="297"/>
      <c r="R172" s="297"/>
      <c r="S172" s="297"/>
    </row>
    <row r="173" spans="1:19" x14ac:dyDescent="0.25">
      <c r="A173" s="297"/>
      <c r="B173" s="297"/>
      <c r="C173" s="297"/>
      <c r="D173" s="297"/>
      <c r="E173" s="297"/>
      <c r="G173" s="297"/>
      <c r="H173" s="297"/>
      <c r="I173" s="297"/>
      <c r="J173" s="297"/>
      <c r="K173" s="297"/>
      <c r="L173" s="297"/>
      <c r="M173" s="297"/>
      <c r="N173" s="297"/>
      <c r="O173" s="297"/>
      <c r="P173" s="297"/>
      <c r="Q173" s="297"/>
      <c r="R173" s="297"/>
      <c r="S173" s="297"/>
    </row>
    <row r="174" spans="1:19" x14ac:dyDescent="0.25">
      <c r="A174" s="297"/>
      <c r="B174" s="297"/>
      <c r="C174" s="297"/>
      <c r="D174" s="297"/>
      <c r="E174" s="297"/>
      <c r="G174" s="297"/>
      <c r="H174" s="297"/>
      <c r="I174" s="297"/>
      <c r="J174" s="297"/>
      <c r="K174" s="297"/>
      <c r="L174" s="297"/>
      <c r="M174" s="297"/>
      <c r="N174" s="297"/>
      <c r="O174" s="297"/>
      <c r="P174" s="297"/>
      <c r="Q174" s="297"/>
      <c r="R174" s="297"/>
      <c r="S174" s="297"/>
    </row>
    <row r="175" spans="1:19" x14ac:dyDescent="0.25">
      <c r="A175" s="297"/>
      <c r="B175" s="297"/>
      <c r="C175" s="297"/>
      <c r="D175" s="297"/>
      <c r="E175" s="297"/>
      <c r="G175" s="297"/>
      <c r="H175" s="297"/>
      <c r="I175" s="297"/>
      <c r="J175" s="297"/>
      <c r="K175" s="297"/>
      <c r="L175" s="297"/>
      <c r="M175" s="297"/>
      <c r="N175" s="297"/>
      <c r="O175" s="297"/>
      <c r="P175" s="297"/>
      <c r="Q175" s="297"/>
      <c r="R175" s="297"/>
      <c r="S175" s="297"/>
    </row>
    <row r="176" spans="1:19" x14ac:dyDescent="0.25">
      <c r="A176" s="297"/>
      <c r="B176" s="297"/>
      <c r="C176" s="297"/>
      <c r="D176" s="297"/>
      <c r="E176" s="297"/>
      <c r="G176" s="297"/>
      <c r="H176" s="297"/>
      <c r="I176" s="297"/>
      <c r="J176" s="297"/>
      <c r="K176" s="297"/>
      <c r="L176" s="297"/>
      <c r="M176" s="297"/>
      <c r="N176" s="297"/>
      <c r="O176" s="297"/>
      <c r="P176" s="297"/>
      <c r="Q176" s="297"/>
      <c r="R176" s="297"/>
      <c r="S176" s="297"/>
    </row>
    <row r="177" spans="1:19" x14ac:dyDescent="0.25">
      <c r="A177" s="297"/>
      <c r="B177" s="297"/>
      <c r="C177" s="297"/>
      <c r="D177" s="297"/>
      <c r="E177" s="297"/>
      <c r="G177" s="297"/>
      <c r="H177" s="297"/>
      <c r="I177" s="297"/>
      <c r="J177" s="297"/>
      <c r="K177" s="297"/>
      <c r="L177" s="297"/>
      <c r="M177" s="297"/>
      <c r="N177" s="297"/>
      <c r="O177" s="297"/>
      <c r="P177" s="297"/>
      <c r="Q177" s="297"/>
      <c r="R177" s="297"/>
      <c r="S177" s="297"/>
    </row>
    <row r="178" spans="1:19" x14ac:dyDescent="0.25">
      <c r="A178" s="297"/>
      <c r="B178" s="297"/>
      <c r="C178" s="297"/>
      <c r="D178" s="297"/>
      <c r="E178" s="297"/>
      <c r="G178" s="297"/>
      <c r="H178" s="297"/>
      <c r="I178" s="297"/>
      <c r="J178" s="297"/>
      <c r="K178" s="297"/>
      <c r="L178" s="297"/>
      <c r="M178" s="297"/>
      <c r="N178" s="297"/>
      <c r="O178" s="297"/>
      <c r="P178" s="297"/>
      <c r="Q178" s="297"/>
      <c r="R178" s="297"/>
      <c r="S178" s="297"/>
    </row>
    <row r="179" spans="1:19" x14ac:dyDescent="0.25">
      <c r="A179" s="297"/>
      <c r="B179" s="297"/>
      <c r="C179" s="297"/>
      <c r="D179" s="297"/>
      <c r="E179" s="297"/>
      <c r="G179" s="297"/>
      <c r="H179" s="297"/>
      <c r="I179" s="297"/>
      <c r="J179" s="297"/>
      <c r="K179" s="297"/>
      <c r="L179" s="297"/>
      <c r="M179" s="297"/>
      <c r="N179" s="297"/>
      <c r="O179" s="297"/>
      <c r="P179" s="297"/>
      <c r="Q179" s="297"/>
      <c r="R179" s="297"/>
      <c r="S179" s="297"/>
    </row>
    <row r="180" spans="1:19" x14ac:dyDescent="0.25">
      <c r="A180" s="297"/>
      <c r="B180" s="297"/>
      <c r="C180" s="297"/>
      <c r="D180" s="297"/>
      <c r="E180" s="297"/>
      <c r="G180" s="297"/>
      <c r="H180" s="297"/>
      <c r="I180" s="297"/>
      <c r="J180" s="297"/>
      <c r="K180" s="297"/>
      <c r="L180" s="297"/>
      <c r="M180" s="297"/>
      <c r="N180" s="297"/>
      <c r="O180" s="297"/>
      <c r="P180" s="297"/>
      <c r="Q180" s="297"/>
      <c r="R180" s="297"/>
      <c r="S180" s="297"/>
    </row>
    <row r="181" spans="1:19" x14ac:dyDescent="0.25">
      <c r="A181" s="297"/>
      <c r="B181" s="297"/>
      <c r="C181" s="297"/>
      <c r="D181" s="297"/>
      <c r="E181" s="297"/>
      <c r="G181" s="297"/>
      <c r="H181" s="297"/>
      <c r="I181" s="297"/>
      <c r="J181" s="297"/>
      <c r="K181" s="297"/>
      <c r="L181" s="297"/>
      <c r="M181" s="297"/>
      <c r="N181" s="297"/>
      <c r="O181" s="297"/>
      <c r="P181" s="297"/>
      <c r="Q181" s="297"/>
      <c r="R181" s="297"/>
      <c r="S181" s="297"/>
    </row>
    <row r="182" spans="1:19" x14ac:dyDescent="0.25">
      <c r="A182" s="297"/>
      <c r="B182" s="297"/>
      <c r="C182" s="297"/>
      <c r="D182" s="297"/>
      <c r="E182" s="297"/>
      <c r="G182" s="297"/>
      <c r="H182" s="297"/>
      <c r="I182" s="297"/>
      <c r="J182" s="297"/>
      <c r="K182" s="297"/>
      <c r="L182" s="297"/>
      <c r="M182" s="297"/>
      <c r="N182" s="297"/>
      <c r="O182" s="297"/>
      <c r="P182" s="297"/>
      <c r="Q182" s="297"/>
      <c r="R182" s="297"/>
      <c r="S182" s="297"/>
    </row>
    <row r="183" spans="1:19" x14ac:dyDescent="0.25">
      <c r="A183" s="297"/>
      <c r="B183" s="297"/>
      <c r="C183" s="297"/>
      <c r="D183" s="297"/>
      <c r="E183" s="297"/>
      <c r="G183" s="297"/>
      <c r="H183" s="297"/>
      <c r="I183" s="297"/>
      <c r="J183" s="297"/>
      <c r="K183" s="297"/>
      <c r="L183" s="297"/>
      <c r="M183" s="297"/>
      <c r="N183" s="297"/>
      <c r="O183" s="297"/>
      <c r="P183" s="297"/>
      <c r="Q183" s="297"/>
      <c r="R183" s="297"/>
      <c r="S183" s="297"/>
    </row>
    <row r="184" spans="1:19" x14ac:dyDescent="0.25">
      <c r="A184" s="297"/>
      <c r="B184" s="297"/>
      <c r="C184" s="297"/>
      <c r="D184" s="297"/>
      <c r="E184" s="297"/>
      <c r="G184" s="297"/>
      <c r="H184" s="297"/>
      <c r="I184" s="297"/>
      <c r="J184" s="297"/>
      <c r="K184" s="297"/>
      <c r="L184" s="297"/>
      <c r="M184" s="297"/>
      <c r="N184" s="297"/>
      <c r="O184" s="297"/>
      <c r="P184" s="297"/>
      <c r="Q184" s="297"/>
      <c r="R184" s="297"/>
      <c r="S184" s="297"/>
    </row>
    <row r="185" spans="1:19" x14ac:dyDescent="0.25">
      <c r="A185" s="297"/>
      <c r="B185" s="297"/>
      <c r="C185" s="297"/>
      <c r="D185" s="297"/>
      <c r="E185" s="297"/>
      <c r="G185" s="297"/>
      <c r="H185" s="297"/>
      <c r="I185" s="297"/>
      <c r="J185" s="297"/>
      <c r="K185" s="297"/>
      <c r="L185" s="297"/>
      <c r="M185" s="297"/>
      <c r="N185" s="297"/>
      <c r="O185" s="297"/>
      <c r="P185" s="297"/>
      <c r="Q185" s="297"/>
      <c r="R185" s="297"/>
      <c r="S185" s="297"/>
    </row>
    <row r="186" spans="1:19" x14ac:dyDescent="0.25">
      <c r="A186" s="297"/>
      <c r="B186" s="297"/>
      <c r="C186" s="297"/>
      <c r="D186" s="297"/>
      <c r="E186" s="297"/>
      <c r="G186" s="297"/>
      <c r="H186" s="297"/>
      <c r="I186" s="297"/>
      <c r="J186" s="297"/>
      <c r="K186" s="297"/>
      <c r="L186" s="297"/>
      <c r="M186" s="297"/>
      <c r="N186" s="297"/>
      <c r="O186" s="297"/>
      <c r="P186" s="297"/>
      <c r="Q186" s="297"/>
      <c r="R186" s="297"/>
      <c r="S186" s="297"/>
    </row>
    <row r="187" spans="1:19" x14ac:dyDescent="0.25">
      <c r="A187" s="297"/>
      <c r="B187" s="297"/>
      <c r="C187" s="297"/>
      <c r="D187" s="297"/>
      <c r="E187" s="297"/>
      <c r="G187" s="297"/>
      <c r="H187" s="297"/>
      <c r="I187" s="297"/>
      <c r="J187" s="297"/>
      <c r="K187" s="297"/>
      <c r="L187" s="297"/>
      <c r="M187" s="297"/>
      <c r="N187" s="297"/>
      <c r="O187" s="297"/>
      <c r="P187" s="297"/>
      <c r="Q187" s="297"/>
      <c r="R187" s="297"/>
      <c r="S187" s="297"/>
    </row>
    <row r="188" spans="1:19" x14ac:dyDescent="0.25">
      <c r="A188" s="297"/>
      <c r="B188" s="297"/>
      <c r="C188" s="297"/>
      <c r="D188" s="297"/>
      <c r="E188" s="297"/>
      <c r="G188" s="297"/>
      <c r="H188" s="297"/>
      <c r="I188" s="297"/>
      <c r="J188" s="297"/>
      <c r="K188" s="297"/>
      <c r="L188" s="297"/>
      <c r="M188" s="297"/>
      <c r="N188" s="297"/>
      <c r="O188" s="297"/>
      <c r="P188" s="297"/>
      <c r="Q188" s="297"/>
      <c r="R188" s="297"/>
      <c r="S188" s="297"/>
    </row>
    <row r="189" spans="1:19" x14ac:dyDescent="0.25">
      <c r="A189" s="297"/>
      <c r="B189" s="297"/>
      <c r="C189" s="297"/>
      <c r="D189" s="297"/>
      <c r="E189" s="297"/>
      <c r="G189" s="297"/>
      <c r="H189" s="297"/>
      <c r="I189" s="297"/>
      <c r="J189" s="297"/>
      <c r="K189" s="297"/>
      <c r="L189" s="297"/>
      <c r="M189" s="297"/>
      <c r="N189" s="297"/>
      <c r="O189" s="297"/>
      <c r="P189" s="297"/>
      <c r="Q189" s="297"/>
      <c r="R189" s="297"/>
      <c r="S189" s="297"/>
    </row>
    <row r="190" spans="1:19" x14ac:dyDescent="0.25">
      <c r="A190" s="297"/>
      <c r="B190" s="297"/>
      <c r="C190" s="297"/>
      <c r="D190" s="297"/>
      <c r="E190" s="297"/>
      <c r="G190" s="297"/>
      <c r="H190" s="297"/>
      <c r="I190" s="297"/>
      <c r="J190" s="297"/>
      <c r="K190" s="297"/>
      <c r="L190" s="297"/>
      <c r="M190" s="297"/>
      <c r="N190" s="297"/>
      <c r="O190" s="297"/>
      <c r="P190" s="297"/>
      <c r="Q190" s="297"/>
      <c r="R190" s="297"/>
      <c r="S190" s="297"/>
    </row>
    <row r="191" spans="1:19" x14ac:dyDescent="0.25">
      <c r="A191" s="297"/>
      <c r="B191" s="297"/>
      <c r="C191" s="297"/>
      <c r="D191" s="297"/>
      <c r="E191" s="297"/>
      <c r="G191" s="297"/>
      <c r="H191" s="297"/>
      <c r="I191" s="297"/>
      <c r="J191" s="297"/>
      <c r="K191" s="297"/>
      <c r="L191" s="297"/>
      <c r="M191" s="297"/>
      <c r="N191" s="297"/>
      <c r="O191" s="297"/>
      <c r="P191" s="297"/>
      <c r="Q191" s="297"/>
      <c r="R191" s="297"/>
      <c r="S191" s="297"/>
    </row>
    <row r="192" spans="1:19" x14ac:dyDescent="0.25">
      <c r="A192" s="297"/>
      <c r="B192" s="297"/>
      <c r="C192" s="297"/>
      <c r="D192" s="297"/>
      <c r="E192" s="297"/>
      <c r="G192" s="297"/>
      <c r="H192" s="297"/>
      <c r="I192" s="297"/>
      <c r="J192" s="297"/>
      <c r="K192" s="297"/>
      <c r="L192" s="297"/>
      <c r="M192" s="297"/>
      <c r="N192" s="297"/>
      <c r="O192" s="297"/>
      <c r="P192" s="297"/>
      <c r="Q192" s="297"/>
      <c r="R192" s="297"/>
      <c r="S192" s="297"/>
    </row>
    <row r="193" spans="1:19" x14ac:dyDescent="0.25">
      <c r="A193" s="297"/>
      <c r="B193" s="297"/>
      <c r="C193" s="297"/>
      <c r="D193" s="297"/>
      <c r="E193" s="297"/>
      <c r="G193" s="297"/>
      <c r="H193" s="297"/>
      <c r="I193" s="297"/>
      <c r="J193" s="297"/>
      <c r="K193" s="297"/>
      <c r="L193" s="297"/>
      <c r="M193" s="297"/>
      <c r="N193" s="297"/>
      <c r="O193" s="297"/>
      <c r="P193" s="297"/>
      <c r="Q193" s="297"/>
      <c r="R193" s="297"/>
      <c r="S193" s="297"/>
    </row>
    <row r="194" spans="1:19" x14ac:dyDescent="0.25">
      <c r="A194" s="297"/>
      <c r="B194" s="297"/>
      <c r="C194" s="297"/>
      <c r="D194" s="297"/>
      <c r="E194" s="297"/>
      <c r="G194" s="297"/>
      <c r="H194" s="297"/>
      <c r="I194" s="297"/>
      <c r="J194" s="297"/>
      <c r="K194" s="297"/>
      <c r="L194" s="297"/>
      <c r="M194" s="297"/>
      <c r="N194" s="297"/>
      <c r="O194" s="297"/>
      <c r="P194" s="297"/>
      <c r="Q194" s="297"/>
      <c r="R194" s="297"/>
      <c r="S194" s="297"/>
    </row>
    <row r="195" spans="1:19" x14ac:dyDescent="0.25">
      <c r="A195" s="297"/>
      <c r="B195" s="297"/>
      <c r="C195" s="297"/>
      <c r="D195" s="297"/>
      <c r="E195" s="297"/>
      <c r="G195" s="297"/>
      <c r="H195" s="297"/>
      <c r="I195" s="297"/>
      <c r="J195" s="297"/>
      <c r="K195" s="297"/>
      <c r="L195" s="297"/>
      <c r="M195" s="297"/>
      <c r="N195" s="297"/>
      <c r="O195" s="297"/>
      <c r="P195" s="297"/>
      <c r="Q195" s="297"/>
      <c r="R195" s="297"/>
      <c r="S195" s="297"/>
    </row>
    <row r="196" spans="1:19" x14ac:dyDescent="0.25">
      <c r="A196" s="297"/>
      <c r="B196" s="297"/>
      <c r="C196" s="297"/>
      <c r="D196" s="297"/>
      <c r="E196" s="297"/>
      <c r="G196" s="297"/>
      <c r="H196" s="297"/>
      <c r="I196" s="297"/>
      <c r="J196" s="297"/>
      <c r="K196" s="297"/>
      <c r="L196" s="297"/>
      <c r="M196" s="297"/>
      <c r="N196" s="297"/>
      <c r="O196" s="297"/>
      <c r="P196" s="297"/>
      <c r="Q196" s="297"/>
      <c r="R196" s="297"/>
      <c r="S196" s="297"/>
    </row>
    <row r="197" spans="1:19" x14ac:dyDescent="0.25">
      <c r="A197" s="297"/>
      <c r="B197" s="297"/>
      <c r="C197" s="297"/>
      <c r="D197" s="297"/>
      <c r="E197" s="297"/>
      <c r="G197" s="297"/>
      <c r="H197" s="297"/>
      <c r="I197" s="297"/>
      <c r="J197" s="297"/>
      <c r="K197" s="297"/>
      <c r="L197" s="297"/>
      <c r="M197" s="297"/>
      <c r="N197" s="297"/>
      <c r="O197" s="297"/>
      <c r="P197" s="297"/>
      <c r="Q197" s="297"/>
      <c r="R197" s="297"/>
      <c r="S197" s="297"/>
    </row>
    <row r="198" spans="1:19" x14ac:dyDescent="0.25">
      <c r="A198" s="297"/>
      <c r="B198" s="297"/>
      <c r="C198" s="297"/>
      <c r="D198" s="297"/>
      <c r="E198" s="297"/>
      <c r="G198" s="297"/>
      <c r="H198" s="297"/>
      <c r="I198" s="297"/>
      <c r="J198" s="297"/>
      <c r="K198" s="297"/>
      <c r="L198" s="297"/>
      <c r="M198" s="297"/>
      <c r="N198" s="297"/>
      <c r="O198" s="297"/>
      <c r="P198" s="297"/>
      <c r="Q198" s="297"/>
      <c r="R198" s="297"/>
      <c r="S198" s="297"/>
    </row>
    <row r="199" spans="1:19" x14ac:dyDescent="0.25">
      <c r="A199" s="297"/>
      <c r="B199" s="297"/>
      <c r="C199" s="297"/>
      <c r="D199" s="297"/>
      <c r="E199" s="297"/>
      <c r="G199" s="297"/>
      <c r="H199" s="297"/>
      <c r="I199" s="297"/>
      <c r="J199" s="297"/>
      <c r="K199" s="297"/>
      <c r="L199" s="297"/>
      <c r="M199" s="297"/>
      <c r="N199" s="297"/>
      <c r="O199" s="297"/>
      <c r="P199" s="297"/>
      <c r="Q199" s="297"/>
      <c r="R199" s="297"/>
      <c r="S199" s="297"/>
    </row>
    <row r="200" spans="1:19" x14ac:dyDescent="0.25">
      <c r="A200" s="297"/>
      <c r="B200" s="297"/>
      <c r="C200" s="297"/>
      <c r="D200" s="297"/>
      <c r="E200" s="297"/>
      <c r="G200" s="297"/>
      <c r="H200" s="297"/>
      <c r="I200" s="297"/>
      <c r="J200" s="297"/>
      <c r="K200" s="297"/>
      <c r="L200" s="297"/>
      <c r="M200" s="297"/>
      <c r="N200" s="297"/>
      <c r="O200" s="297"/>
      <c r="P200" s="297"/>
      <c r="Q200" s="297"/>
      <c r="R200" s="297"/>
      <c r="S200" s="297"/>
    </row>
    <row r="201" spans="1:19" x14ac:dyDescent="0.25">
      <c r="A201" s="297"/>
      <c r="B201" s="297"/>
      <c r="C201" s="297"/>
      <c r="D201" s="297"/>
      <c r="E201" s="297"/>
      <c r="G201" s="297"/>
      <c r="H201" s="297"/>
      <c r="I201" s="297"/>
      <c r="J201" s="297"/>
      <c r="K201" s="297"/>
      <c r="L201" s="297"/>
      <c r="M201" s="297"/>
      <c r="N201" s="297"/>
      <c r="O201" s="297"/>
      <c r="P201" s="297"/>
      <c r="Q201" s="297"/>
      <c r="R201" s="297"/>
      <c r="S201" s="297"/>
    </row>
    <row r="202" spans="1:19" x14ac:dyDescent="0.25">
      <c r="A202" s="297"/>
      <c r="B202" s="297"/>
      <c r="C202" s="297"/>
      <c r="D202" s="297"/>
      <c r="E202" s="297"/>
      <c r="G202" s="297"/>
      <c r="H202" s="297"/>
      <c r="I202" s="297"/>
      <c r="J202" s="297"/>
      <c r="K202" s="297"/>
      <c r="L202" s="297"/>
      <c r="M202" s="297"/>
      <c r="N202" s="297"/>
      <c r="O202" s="297"/>
      <c r="P202" s="297"/>
      <c r="Q202" s="297"/>
      <c r="R202" s="297"/>
      <c r="S202" s="297"/>
    </row>
    <row r="203" spans="1:19" x14ac:dyDescent="0.25">
      <c r="A203" s="297"/>
      <c r="B203" s="297"/>
      <c r="C203" s="297"/>
      <c r="D203" s="297"/>
      <c r="E203" s="297"/>
      <c r="G203" s="297"/>
      <c r="H203" s="297"/>
      <c r="I203" s="297"/>
      <c r="J203" s="297"/>
      <c r="K203" s="297"/>
      <c r="L203" s="297"/>
      <c r="M203" s="297"/>
      <c r="N203" s="297"/>
      <c r="O203" s="297"/>
      <c r="P203" s="297"/>
      <c r="Q203" s="297"/>
      <c r="R203" s="297"/>
      <c r="S203" s="297"/>
    </row>
    <row r="204" spans="1:19" x14ac:dyDescent="0.25">
      <c r="A204" s="297"/>
      <c r="B204" s="297"/>
      <c r="C204" s="297"/>
      <c r="D204" s="297"/>
      <c r="E204" s="297"/>
      <c r="G204" s="297"/>
      <c r="H204" s="297"/>
      <c r="I204" s="297"/>
      <c r="J204" s="297"/>
      <c r="K204" s="297"/>
      <c r="L204" s="297"/>
      <c r="M204" s="297"/>
      <c r="N204" s="297"/>
      <c r="O204" s="297"/>
      <c r="P204" s="297"/>
      <c r="Q204" s="297"/>
      <c r="R204" s="297"/>
      <c r="S204" s="297"/>
    </row>
    <row r="205" spans="1:19" x14ac:dyDescent="0.25">
      <c r="A205" s="297"/>
      <c r="B205" s="297"/>
      <c r="C205" s="297"/>
      <c r="D205" s="297"/>
      <c r="E205" s="297"/>
      <c r="G205" s="297"/>
      <c r="H205" s="297"/>
      <c r="I205" s="297"/>
      <c r="J205" s="297"/>
      <c r="K205" s="297"/>
      <c r="L205" s="297"/>
      <c r="M205" s="297"/>
      <c r="N205" s="297"/>
      <c r="O205" s="297"/>
      <c r="P205" s="297"/>
      <c r="Q205" s="297"/>
      <c r="R205" s="297"/>
      <c r="S205" s="297"/>
    </row>
    <row r="206" spans="1:19" x14ac:dyDescent="0.25">
      <c r="A206" s="297"/>
      <c r="B206" s="297"/>
      <c r="C206" s="297"/>
      <c r="D206" s="297"/>
      <c r="E206" s="297"/>
      <c r="G206" s="297"/>
      <c r="H206" s="297"/>
      <c r="I206" s="297"/>
      <c r="J206" s="297"/>
      <c r="K206" s="297"/>
      <c r="L206" s="297"/>
      <c r="M206" s="297"/>
      <c r="N206" s="297"/>
      <c r="O206" s="297"/>
      <c r="P206" s="297"/>
      <c r="Q206" s="297"/>
      <c r="R206" s="297"/>
      <c r="S206" s="297"/>
    </row>
    <row r="207" spans="1:19" x14ac:dyDescent="0.25">
      <c r="A207" s="297"/>
      <c r="B207" s="297"/>
      <c r="C207" s="297"/>
      <c r="D207" s="297"/>
      <c r="E207" s="297"/>
      <c r="G207" s="297"/>
      <c r="H207" s="297"/>
      <c r="I207" s="297"/>
      <c r="J207" s="297"/>
      <c r="K207" s="297"/>
      <c r="L207" s="297"/>
      <c r="M207" s="297"/>
      <c r="N207" s="297"/>
      <c r="O207" s="297"/>
      <c r="P207" s="297"/>
      <c r="Q207" s="297"/>
      <c r="R207" s="297"/>
      <c r="S207" s="297"/>
    </row>
    <row r="208" spans="1:19" x14ac:dyDescent="0.25">
      <c r="A208" s="297"/>
      <c r="B208" s="297"/>
      <c r="C208" s="297"/>
      <c r="D208" s="297"/>
      <c r="E208" s="297"/>
      <c r="G208" s="297"/>
      <c r="H208" s="297"/>
      <c r="I208" s="297"/>
      <c r="J208" s="297"/>
      <c r="K208" s="297"/>
      <c r="L208" s="297"/>
      <c r="M208" s="297"/>
      <c r="N208" s="297"/>
      <c r="O208" s="297"/>
      <c r="P208" s="297"/>
      <c r="Q208" s="297"/>
      <c r="R208" s="297"/>
      <c r="S208" s="297"/>
    </row>
    <row r="209" spans="1:19" x14ac:dyDescent="0.25">
      <c r="A209" s="297"/>
      <c r="B209" s="297"/>
      <c r="C209" s="297"/>
      <c r="D209" s="297"/>
      <c r="E209" s="297"/>
      <c r="G209" s="297"/>
      <c r="H209" s="297"/>
      <c r="I209" s="297"/>
      <c r="J209" s="297"/>
      <c r="K209" s="297"/>
      <c r="L209" s="297"/>
      <c r="M209" s="297"/>
      <c r="N209" s="297"/>
      <c r="O209" s="297"/>
      <c r="P209" s="297"/>
      <c r="Q209" s="297"/>
      <c r="R209" s="297"/>
      <c r="S209" s="297"/>
    </row>
    <row r="210" spans="1:19" x14ac:dyDescent="0.25">
      <c r="A210" s="297"/>
      <c r="B210" s="297"/>
      <c r="C210" s="297"/>
      <c r="D210" s="297"/>
      <c r="E210" s="297"/>
      <c r="G210" s="297"/>
      <c r="H210" s="297"/>
      <c r="I210" s="297"/>
      <c r="J210" s="297"/>
      <c r="K210" s="297"/>
      <c r="L210" s="297"/>
      <c r="M210" s="297"/>
      <c r="N210" s="297"/>
      <c r="O210" s="297"/>
      <c r="P210" s="297"/>
      <c r="Q210" s="297"/>
      <c r="R210" s="297"/>
      <c r="S210" s="297"/>
    </row>
    <row r="211" spans="1:19" x14ac:dyDescent="0.25">
      <c r="A211" s="297"/>
      <c r="B211" s="297"/>
      <c r="C211" s="297"/>
      <c r="D211" s="297"/>
      <c r="E211" s="297"/>
      <c r="G211" s="297"/>
      <c r="H211" s="297"/>
      <c r="I211" s="297"/>
      <c r="J211" s="297"/>
      <c r="K211" s="297"/>
      <c r="L211" s="297"/>
      <c r="M211" s="297"/>
      <c r="N211" s="297"/>
      <c r="O211" s="297"/>
      <c r="P211" s="297"/>
      <c r="Q211" s="297"/>
      <c r="R211" s="297"/>
      <c r="S211" s="297"/>
    </row>
    <row r="212" spans="1:19" x14ac:dyDescent="0.25">
      <c r="A212" s="297"/>
      <c r="B212" s="297"/>
      <c r="C212" s="297"/>
      <c r="D212" s="297"/>
      <c r="E212" s="297"/>
      <c r="G212" s="297"/>
      <c r="H212" s="297"/>
      <c r="I212" s="297"/>
      <c r="J212" s="297"/>
      <c r="K212" s="297"/>
      <c r="L212" s="297"/>
      <c r="M212" s="297"/>
      <c r="N212" s="297"/>
      <c r="O212" s="297"/>
      <c r="P212" s="297"/>
      <c r="Q212" s="297"/>
      <c r="R212" s="297"/>
      <c r="S212" s="297"/>
    </row>
    <row r="213" spans="1:19" x14ac:dyDescent="0.25">
      <c r="A213" s="297"/>
      <c r="B213" s="297"/>
      <c r="C213" s="297"/>
      <c r="D213" s="297"/>
      <c r="E213" s="297"/>
      <c r="G213" s="297"/>
      <c r="H213" s="297"/>
      <c r="I213" s="297"/>
      <c r="J213" s="297"/>
      <c r="K213" s="297"/>
      <c r="L213" s="297"/>
      <c r="M213" s="297"/>
      <c r="N213" s="297"/>
      <c r="O213" s="297"/>
      <c r="P213" s="297"/>
      <c r="Q213" s="297"/>
      <c r="R213" s="297"/>
      <c r="S213" s="297"/>
    </row>
    <row r="214" spans="1:19" x14ac:dyDescent="0.25">
      <c r="A214" s="297"/>
      <c r="B214" s="297"/>
      <c r="C214" s="297"/>
      <c r="D214" s="297"/>
      <c r="E214" s="297"/>
      <c r="G214" s="297"/>
      <c r="H214" s="297"/>
      <c r="I214" s="297"/>
      <c r="J214" s="297"/>
      <c r="K214" s="297"/>
      <c r="L214" s="297"/>
      <c r="M214" s="297"/>
      <c r="N214" s="297"/>
      <c r="O214" s="297"/>
      <c r="P214" s="297"/>
      <c r="Q214" s="297"/>
      <c r="R214" s="297"/>
      <c r="S214" s="297"/>
    </row>
    <row r="215" spans="1:19" x14ac:dyDescent="0.25">
      <c r="A215" s="297"/>
      <c r="B215" s="297"/>
      <c r="C215" s="297"/>
      <c r="D215" s="297"/>
      <c r="E215" s="297"/>
      <c r="G215" s="297"/>
      <c r="H215" s="297"/>
      <c r="I215" s="297"/>
      <c r="J215" s="297"/>
      <c r="K215" s="297"/>
      <c r="L215" s="297"/>
      <c r="M215" s="297"/>
      <c r="N215" s="297"/>
      <c r="O215" s="297"/>
      <c r="P215" s="297"/>
      <c r="Q215" s="297"/>
      <c r="R215" s="297"/>
      <c r="S215" s="297"/>
    </row>
    <row r="216" spans="1:19" x14ac:dyDescent="0.25">
      <c r="A216" s="297"/>
      <c r="B216" s="297"/>
      <c r="C216" s="297"/>
      <c r="D216" s="297"/>
      <c r="E216" s="297"/>
      <c r="G216" s="297"/>
      <c r="H216" s="297"/>
      <c r="I216" s="297"/>
      <c r="J216" s="297"/>
      <c r="K216" s="297"/>
      <c r="L216" s="297"/>
      <c r="M216" s="297"/>
      <c r="N216" s="297"/>
      <c r="O216" s="297"/>
      <c r="P216" s="297"/>
      <c r="Q216" s="297"/>
      <c r="R216" s="297"/>
      <c r="S216" s="297"/>
    </row>
    <row r="217" spans="1:19" x14ac:dyDescent="0.25">
      <c r="A217" s="297"/>
      <c r="B217" s="297"/>
      <c r="C217" s="297"/>
      <c r="D217" s="297"/>
      <c r="E217" s="297"/>
      <c r="G217" s="297"/>
      <c r="H217" s="297"/>
      <c r="I217" s="297"/>
      <c r="J217" s="297"/>
      <c r="K217" s="297"/>
      <c r="L217" s="297"/>
      <c r="M217" s="297"/>
      <c r="N217" s="297"/>
      <c r="O217" s="297"/>
      <c r="P217" s="297"/>
      <c r="Q217" s="297"/>
      <c r="R217" s="297"/>
      <c r="S217" s="297"/>
    </row>
    <row r="218" spans="1:19" x14ac:dyDescent="0.25">
      <c r="A218" s="297"/>
      <c r="B218" s="297"/>
      <c r="C218" s="297"/>
      <c r="D218" s="297"/>
      <c r="E218" s="297"/>
      <c r="G218" s="297"/>
      <c r="H218" s="297"/>
      <c r="I218" s="297"/>
      <c r="J218" s="297"/>
      <c r="K218" s="297"/>
      <c r="L218" s="297"/>
      <c r="M218" s="297"/>
      <c r="N218" s="297"/>
      <c r="O218" s="297"/>
      <c r="P218" s="297"/>
      <c r="Q218" s="297"/>
      <c r="R218" s="297"/>
      <c r="S218" s="297"/>
    </row>
    <row r="219" spans="1:19" x14ac:dyDescent="0.25">
      <c r="A219" s="297"/>
      <c r="B219" s="297"/>
      <c r="C219" s="297"/>
      <c r="D219" s="297"/>
      <c r="E219" s="297"/>
      <c r="G219" s="297"/>
      <c r="H219" s="297"/>
      <c r="I219" s="297"/>
      <c r="J219" s="297"/>
      <c r="K219" s="297"/>
      <c r="L219" s="297"/>
      <c r="M219" s="297"/>
      <c r="N219" s="297"/>
      <c r="O219" s="297"/>
      <c r="P219" s="297"/>
      <c r="Q219" s="297"/>
      <c r="R219" s="297"/>
      <c r="S219" s="297"/>
    </row>
    <row r="220" spans="1:19" x14ac:dyDescent="0.25">
      <c r="A220" s="297"/>
      <c r="B220" s="297"/>
      <c r="C220" s="297"/>
      <c r="D220" s="297"/>
      <c r="E220" s="297"/>
      <c r="G220" s="297"/>
      <c r="H220" s="297"/>
      <c r="I220" s="297"/>
      <c r="J220" s="297"/>
      <c r="K220" s="297"/>
      <c r="L220" s="297"/>
      <c r="M220" s="297"/>
      <c r="N220" s="297"/>
      <c r="O220" s="297"/>
      <c r="P220" s="297"/>
      <c r="Q220" s="297"/>
      <c r="R220" s="297"/>
      <c r="S220" s="297"/>
    </row>
    <row r="221" spans="1:19" x14ac:dyDescent="0.25">
      <c r="A221" s="297"/>
      <c r="B221" s="297"/>
      <c r="C221" s="297"/>
      <c r="D221" s="297"/>
      <c r="E221" s="297"/>
      <c r="G221" s="297"/>
      <c r="H221" s="297"/>
      <c r="I221" s="297"/>
      <c r="J221" s="297"/>
      <c r="K221" s="297"/>
      <c r="L221" s="297"/>
      <c r="M221" s="297"/>
      <c r="N221" s="297"/>
      <c r="O221" s="297"/>
      <c r="P221" s="297"/>
      <c r="Q221" s="297"/>
      <c r="R221" s="297"/>
      <c r="S221" s="297"/>
    </row>
    <row r="222" spans="1:19" x14ac:dyDescent="0.25">
      <c r="A222" s="297"/>
      <c r="B222" s="297"/>
      <c r="C222" s="297"/>
      <c r="D222" s="297"/>
      <c r="E222" s="297"/>
      <c r="G222" s="297"/>
      <c r="H222" s="297"/>
      <c r="I222" s="297"/>
      <c r="J222" s="297"/>
      <c r="K222" s="297"/>
      <c r="L222" s="297"/>
      <c r="M222" s="297"/>
      <c r="N222" s="297"/>
      <c r="O222" s="297"/>
      <c r="P222" s="297"/>
      <c r="Q222" s="297"/>
      <c r="R222" s="297"/>
      <c r="S222" s="297"/>
    </row>
    <row r="223" spans="1:19" x14ac:dyDescent="0.25">
      <c r="A223" s="297"/>
      <c r="B223" s="297"/>
      <c r="C223" s="297"/>
      <c r="D223" s="297"/>
      <c r="E223" s="297"/>
      <c r="G223" s="297"/>
      <c r="H223" s="297"/>
      <c r="I223" s="297"/>
      <c r="J223" s="297"/>
      <c r="K223" s="297"/>
      <c r="L223" s="297"/>
      <c r="M223" s="297"/>
      <c r="N223" s="297"/>
      <c r="O223" s="297"/>
      <c r="P223" s="297"/>
      <c r="Q223" s="297"/>
      <c r="R223" s="297"/>
      <c r="S223" s="297"/>
    </row>
    <row r="224" spans="1:19" x14ac:dyDescent="0.25">
      <c r="A224" s="297"/>
      <c r="B224" s="297"/>
      <c r="C224" s="297"/>
      <c r="D224" s="297"/>
      <c r="E224" s="297"/>
      <c r="G224" s="297"/>
      <c r="H224" s="297"/>
      <c r="I224" s="297"/>
      <c r="J224" s="297"/>
      <c r="K224" s="297"/>
      <c r="L224" s="297"/>
      <c r="M224" s="297"/>
      <c r="N224" s="297"/>
      <c r="O224" s="297"/>
      <c r="P224" s="297"/>
      <c r="Q224" s="297"/>
      <c r="R224" s="297"/>
      <c r="S224" s="297"/>
    </row>
    <row r="225" spans="1:19" x14ac:dyDescent="0.25">
      <c r="A225" s="297"/>
      <c r="B225" s="297"/>
      <c r="C225" s="297"/>
      <c r="D225" s="297"/>
      <c r="E225" s="297"/>
      <c r="G225" s="297"/>
      <c r="H225" s="297"/>
      <c r="I225" s="297"/>
      <c r="J225" s="297"/>
      <c r="K225" s="297"/>
      <c r="L225" s="297"/>
      <c r="M225" s="297"/>
      <c r="N225" s="297"/>
      <c r="O225" s="297"/>
      <c r="P225" s="297"/>
      <c r="Q225" s="297"/>
      <c r="R225" s="297"/>
      <c r="S225" s="297"/>
    </row>
    <row r="226" spans="1:19" x14ac:dyDescent="0.25">
      <c r="A226" s="297"/>
      <c r="B226" s="297"/>
      <c r="C226" s="297"/>
      <c r="D226" s="297"/>
      <c r="E226" s="297"/>
      <c r="G226" s="297"/>
      <c r="H226" s="297"/>
      <c r="I226" s="297"/>
      <c r="J226" s="297"/>
      <c r="K226" s="297"/>
      <c r="L226" s="297"/>
      <c r="M226" s="297"/>
      <c r="N226" s="297"/>
      <c r="O226" s="297"/>
      <c r="P226" s="297"/>
      <c r="Q226" s="297"/>
      <c r="R226" s="297"/>
      <c r="S226" s="297"/>
    </row>
    <row r="227" spans="1:19" x14ac:dyDescent="0.25">
      <c r="A227" s="297"/>
      <c r="B227" s="297"/>
      <c r="C227" s="297"/>
      <c r="D227" s="297"/>
      <c r="E227" s="297"/>
      <c r="G227" s="297"/>
      <c r="H227" s="297"/>
      <c r="I227" s="297"/>
      <c r="J227" s="297"/>
      <c r="K227" s="297"/>
      <c r="L227" s="297"/>
      <c r="M227" s="297"/>
      <c r="N227" s="297"/>
      <c r="O227" s="297"/>
      <c r="P227" s="297"/>
      <c r="Q227" s="297"/>
      <c r="R227" s="297"/>
      <c r="S227" s="297"/>
    </row>
    <row r="228" spans="1:19" x14ac:dyDescent="0.25">
      <c r="A228" s="297"/>
      <c r="B228" s="297"/>
      <c r="C228" s="297"/>
      <c r="D228" s="297"/>
      <c r="E228" s="297"/>
      <c r="G228" s="297"/>
      <c r="H228" s="297"/>
      <c r="I228" s="297"/>
      <c r="J228" s="297"/>
      <c r="K228" s="297"/>
      <c r="L228" s="297"/>
      <c r="M228" s="297"/>
      <c r="N228" s="297"/>
      <c r="O228" s="297"/>
      <c r="P228" s="297"/>
      <c r="Q228" s="297"/>
      <c r="R228" s="297"/>
      <c r="S228" s="297"/>
    </row>
    <row r="229" spans="1:19" x14ac:dyDescent="0.25">
      <c r="A229" s="297"/>
      <c r="B229" s="297"/>
      <c r="C229" s="297"/>
      <c r="D229" s="297"/>
      <c r="E229" s="297"/>
      <c r="G229" s="297"/>
      <c r="H229" s="297"/>
      <c r="I229" s="297"/>
      <c r="J229" s="297"/>
      <c r="K229" s="297"/>
      <c r="L229" s="297"/>
      <c r="M229" s="297"/>
      <c r="N229" s="297"/>
      <c r="O229" s="297"/>
      <c r="P229" s="297"/>
      <c r="Q229" s="297"/>
      <c r="R229" s="297"/>
      <c r="S229" s="297"/>
    </row>
    <row r="230" spans="1:19" x14ac:dyDescent="0.25">
      <c r="A230" s="297"/>
      <c r="B230" s="297"/>
      <c r="C230" s="297"/>
      <c r="D230" s="297"/>
      <c r="E230" s="297"/>
      <c r="G230" s="297"/>
      <c r="H230" s="297"/>
      <c r="I230" s="297"/>
      <c r="J230" s="297"/>
      <c r="K230" s="297"/>
      <c r="L230" s="297"/>
      <c r="M230" s="297"/>
      <c r="N230" s="297"/>
      <c r="O230" s="297"/>
      <c r="P230" s="297"/>
      <c r="Q230" s="297"/>
      <c r="R230" s="297"/>
      <c r="S230" s="297"/>
    </row>
    <row r="231" spans="1:19" x14ac:dyDescent="0.25">
      <c r="A231" s="297"/>
      <c r="B231" s="297"/>
      <c r="C231" s="297"/>
      <c r="D231" s="297"/>
      <c r="E231" s="297"/>
      <c r="G231" s="297"/>
      <c r="H231" s="297"/>
      <c r="I231" s="297"/>
      <c r="J231" s="297"/>
      <c r="K231" s="297"/>
      <c r="L231" s="297"/>
      <c r="M231" s="297"/>
      <c r="N231" s="297"/>
      <c r="O231" s="297"/>
      <c r="P231" s="297"/>
      <c r="Q231" s="297"/>
      <c r="R231" s="297"/>
      <c r="S231" s="297"/>
    </row>
    <row r="232" spans="1:19" x14ac:dyDescent="0.25">
      <c r="A232" s="297"/>
      <c r="B232" s="297"/>
      <c r="C232" s="297"/>
      <c r="D232" s="297"/>
      <c r="E232" s="297"/>
      <c r="G232" s="297"/>
      <c r="H232" s="297"/>
      <c r="I232" s="297"/>
      <c r="J232" s="297"/>
      <c r="K232" s="297"/>
      <c r="L232" s="297"/>
      <c r="M232" s="297"/>
      <c r="N232" s="297"/>
      <c r="O232" s="297"/>
      <c r="P232" s="297"/>
      <c r="Q232" s="297"/>
      <c r="R232" s="297"/>
      <c r="S232" s="297"/>
    </row>
    <row r="233" spans="1:19" x14ac:dyDescent="0.25">
      <c r="A233" s="297"/>
      <c r="B233" s="297"/>
      <c r="C233" s="297"/>
      <c r="D233" s="297"/>
      <c r="E233" s="297"/>
      <c r="G233" s="297"/>
      <c r="H233" s="297"/>
      <c r="I233" s="297"/>
      <c r="J233" s="297"/>
      <c r="K233" s="297"/>
      <c r="L233" s="297"/>
      <c r="M233" s="297"/>
      <c r="N233" s="297"/>
      <c r="O233" s="297"/>
      <c r="P233" s="297"/>
      <c r="Q233" s="297"/>
      <c r="R233" s="297"/>
      <c r="S233" s="297"/>
    </row>
    <row r="234" spans="1:19" x14ac:dyDescent="0.25">
      <c r="A234" s="297"/>
      <c r="B234" s="297"/>
      <c r="C234" s="297"/>
      <c r="D234" s="297"/>
      <c r="E234" s="297"/>
      <c r="G234" s="297"/>
      <c r="H234" s="297"/>
      <c r="I234" s="297"/>
      <c r="J234" s="297"/>
      <c r="K234" s="297"/>
      <c r="L234" s="297"/>
      <c r="M234" s="297"/>
      <c r="N234" s="297"/>
      <c r="O234" s="297"/>
      <c r="P234" s="297"/>
      <c r="Q234" s="297"/>
      <c r="R234" s="297"/>
      <c r="S234" s="297"/>
    </row>
    <row r="235" spans="1:19" x14ac:dyDescent="0.25">
      <c r="A235" s="297"/>
      <c r="B235" s="297"/>
      <c r="C235" s="297"/>
      <c r="D235" s="297"/>
      <c r="E235" s="297"/>
      <c r="G235" s="297"/>
      <c r="H235" s="297"/>
      <c r="I235" s="297"/>
      <c r="J235" s="297"/>
      <c r="K235" s="297"/>
      <c r="L235" s="297"/>
      <c r="M235" s="297"/>
      <c r="N235" s="297"/>
      <c r="O235" s="297"/>
      <c r="P235" s="297"/>
      <c r="Q235" s="297"/>
      <c r="R235" s="297"/>
      <c r="S235" s="297"/>
    </row>
    <row r="236" spans="1:19" x14ac:dyDescent="0.25">
      <c r="A236" s="297"/>
      <c r="B236" s="297"/>
      <c r="C236" s="297"/>
      <c r="D236" s="297"/>
      <c r="E236" s="297"/>
      <c r="G236" s="297"/>
      <c r="H236" s="297"/>
      <c r="I236" s="297"/>
      <c r="J236" s="297"/>
      <c r="K236" s="297"/>
      <c r="L236" s="297"/>
      <c r="M236" s="297"/>
      <c r="N236" s="297"/>
      <c r="O236" s="297"/>
      <c r="P236" s="297"/>
      <c r="Q236" s="297"/>
      <c r="R236" s="297"/>
      <c r="S236" s="297"/>
    </row>
    <row r="237" spans="1:19" x14ac:dyDescent="0.25">
      <c r="A237" s="297"/>
      <c r="B237" s="297"/>
      <c r="C237" s="297"/>
      <c r="D237" s="297"/>
      <c r="E237" s="297"/>
      <c r="G237" s="297"/>
      <c r="H237" s="297"/>
      <c r="I237" s="297"/>
      <c r="J237" s="297"/>
      <c r="K237" s="297"/>
      <c r="L237" s="297"/>
      <c r="M237" s="297"/>
      <c r="N237" s="297"/>
      <c r="O237" s="297"/>
      <c r="P237" s="297"/>
      <c r="Q237" s="297"/>
      <c r="R237" s="297"/>
      <c r="S237" s="297"/>
    </row>
    <row r="238" spans="1:19" x14ac:dyDescent="0.25">
      <c r="A238" s="297"/>
      <c r="B238" s="297"/>
      <c r="C238" s="297"/>
      <c r="D238" s="297"/>
      <c r="E238" s="297"/>
      <c r="G238" s="297"/>
      <c r="H238" s="297"/>
      <c r="I238" s="297"/>
      <c r="J238" s="297"/>
      <c r="K238" s="297"/>
      <c r="L238" s="297"/>
      <c r="M238" s="297"/>
      <c r="N238" s="297"/>
      <c r="O238" s="297"/>
      <c r="P238" s="297"/>
      <c r="Q238" s="297"/>
      <c r="R238" s="297"/>
      <c r="S238" s="297"/>
    </row>
    <row r="239" spans="1:19" x14ac:dyDescent="0.25">
      <c r="A239" s="297"/>
      <c r="B239" s="297"/>
      <c r="C239" s="297"/>
      <c r="D239" s="297"/>
      <c r="E239" s="297"/>
      <c r="G239" s="297"/>
      <c r="H239" s="297"/>
      <c r="I239" s="297"/>
      <c r="J239" s="297"/>
      <c r="K239" s="297"/>
      <c r="L239" s="297"/>
      <c r="M239" s="297"/>
      <c r="N239" s="297"/>
      <c r="O239" s="297"/>
      <c r="P239" s="297"/>
      <c r="Q239" s="297"/>
      <c r="R239" s="297"/>
      <c r="S239" s="297"/>
    </row>
    <row r="240" spans="1:19" x14ac:dyDescent="0.25">
      <c r="A240" s="297"/>
      <c r="B240" s="297"/>
      <c r="C240" s="297"/>
      <c r="D240" s="297"/>
      <c r="E240" s="297"/>
      <c r="G240" s="297"/>
      <c r="H240" s="297"/>
      <c r="I240" s="297"/>
      <c r="J240" s="297"/>
      <c r="K240" s="297"/>
      <c r="L240" s="297"/>
      <c r="M240" s="297"/>
      <c r="N240" s="297"/>
      <c r="O240" s="297"/>
      <c r="P240" s="297"/>
      <c r="Q240" s="297"/>
      <c r="R240" s="297"/>
      <c r="S240" s="297"/>
    </row>
    <row r="241" spans="1:19" x14ac:dyDescent="0.25">
      <c r="A241" s="297"/>
      <c r="B241" s="297"/>
      <c r="C241" s="297"/>
      <c r="D241" s="297"/>
      <c r="E241" s="297"/>
      <c r="G241" s="297"/>
      <c r="H241" s="297"/>
      <c r="I241" s="297"/>
      <c r="J241" s="297"/>
      <c r="K241" s="297"/>
      <c r="L241" s="297"/>
      <c r="M241" s="297"/>
      <c r="N241" s="297"/>
      <c r="O241" s="297"/>
      <c r="P241" s="297"/>
      <c r="Q241" s="297"/>
      <c r="R241" s="297"/>
      <c r="S241" s="297"/>
    </row>
    <row r="242" spans="1:19" x14ac:dyDescent="0.25">
      <c r="A242" s="297"/>
      <c r="B242" s="297"/>
      <c r="C242" s="297"/>
      <c r="D242" s="297"/>
      <c r="E242" s="297"/>
      <c r="G242" s="297"/>
      <c r="H242" s="297"/>
      <c r="I242" s="297"/>
      <c r="J242" s="297"/>
      <c r="K242" s="297"/>
      <c r="L242" s="297"/>
      <c r="M242" s="297"/>
      <c r="N242" s="297"/>
      <c r="O242" s="297"/>
      <c r="P242" s="297"/>
      <c r="Q242" s="297"/>
      <c r="R242" s="297"/>
      <c r="S242" s="297"/>
    </row>
    <row r="243" spans="1:19" x14ac:dyDescent="0.25">
      <c r="A243" s="297"/>
      <c r="B243" s="297"/>
      <c r="C243" s="297"/>
      <c r="D243" s="297"/>
      <c r="E243" s="297"/>
      <c r="G243" s="297"/>
      <c r="H243" s="297"/>
      <c r="I243" s="297"/>
      <c r="J243" s="297"/>
      <c r="K243" s="297"/>
      <c r="L243" s="297"/>
      <c r="M243" s="297"/>
      <c r="N243" s="297"/>
      <c r="O243" s="297"/>
      <c r="P243" s="297"/>
      <c r="Q243" s="297"/>
      <c r="R243" s="297"/>
      <c r="S243" s="297"/>
    </row>
    <row r="244" spans="1:19" x14ac:dyDescent="0.25">
      <c r="A244" s="297"/>
      <c r="B244" s="297"/>
      <c r="C244" s="297"/>
      <c r="D244" s="297"/>
      <c r="E244" s="297"/>
      <c r="G244" s="297"/>
      <c r="H244" s="297"/>
      <c r="I244" s="297"/>
      <c r="J244" s="297"/>
      <c r="K244" s="297"/>
      <c r="L244" s="297"/>
      <c r="M244" s="297"/>
      <c r="N244" s="297"/>
      <c r="O244" s="297"/>
      <c r="P244" s="297"/>
      <c r="Q244" s="297"/>
      <c r="R244" s="297"/>
      <c r="S244" s="297"/>
    </row>
    <row r="245" spans="1:19" x14ac:dyDescent="0.25">
      <c r="A245" s="297"/>
      <c r="B245" s="297"/>
      <c r="C245" s="297"/>
      <c r="D245" s="297"/>
      <c r="E245" s="297"/>
      <c r="G245" s="297"/>
      <c r="H245" s="297"/>
      <c r="I245" s="297"/>
      <c r="J245" s="297"/>
      <c r="K245" s="297"/>
      <c r="L245" s="297"/>
      <c r="M245" s="297"/>
      <c r="N245" s="297"/>
      <c r="O245" s="297"/>
      <c r="P245" s="297"/>
      <c r="Q245" s="297"/>
      <c r="R245" s="297"/>
      <c r="S245" s="297"/>
    </row>
    <row r="246" spans="1:19" x14ac:dyDescent="0.25">
      <c r="A246" s="297"/>
      <c r="B246" s="297"/>
      <c r="C246" s="297"/>
      <c r="D246" s="297"/>
      <c r="E246" s="297"/>
      <c r="G246" s="297"/>
      <c r="H246" s="297"/>
      <c r="I246" s="297"/>
      <c r="J246" s="297"/>
      <c r="K246" s="297"/>
      <c r="L246" s="297"/>
      <c r="M246" s="297"/>
      <c r="N246" s="297"/>
      <c r="O246" s="297"/>
      <c r="P246" s="297"/>
      <c r="Q246" s="297"/>
      <c r="R246" s="297"/>
      <c r="S246" s="297"/>
    </row>
    <row r="247" spans="1:19" x14ac:dyDescent="0.25">
      <c r="A247" s="297"/>
      <c r="B247" s="297"/>
      <c r="C247" s="297"/>
      <c r="D247" s="297"/>
      <c r="E247" s="297"/>
      <c r="G247" s="297"/>
      <c r="H247" s="297"/>
      <c r="I247" s="297"/>
      <c r="J247" s="297"/>
      <c r="K247" s="297"/>
      <c r="L247" s="297"/>
      <c r="M247" s="297"/>
      <c r="N247" s="297"/>
      <c r="O247" s="297"/>
      <c r="P247" s="297"/>
      <c r="Q247" s="297"/>
      <c r="R247" s="297"/>
      <c r="S247" s="297"/>
    </row>
    <row r="248" spans="1:19" x14ac:dyDescent="0.25">
      <c r="A248" s="297"/>
      <c r="B248" s="297"/>
      <c r="C248" s="297"/>
      <c r="D248" s="297"/>
      <c r="E248" s="297"/>
      <c r="G248" s="297"/>
      <c r="H248" s="297"/>
      <c r="I248" s="297"/>
      <c r="J248" s="297"/>
      <c r="K248" s="297"/>
      <c r="L248" s="297"/>
      <c r="M248" s="297"/>
      <c r="N248" s="297"/>
      <c r="O248" s="297"/>
      <c r="P248" s="297"/>
      <c r="Q248" s="297"/>
      <c r="R248" s="297"/>
      <c r="S248" s="297"/>
    </row>
    <row r="249" spans="1:19" x14ac:dyDescent="0.25">
      <c r="A249" s="297"/>
      <c r="B249" s="297"/>
      <c r="C249" s="297"/>
      <c r="D249" s="297"/>
      <c r="E249" s="297"/>
      <c r="G249" s="297"/>
      <c r="H249" s="297"/>
      <c r="I249" s="297"/>
      <c r="J249" s="297"/>
      <c r="K249" s="297"/>
      <c r="L249" s="297"/>
      <c r="M249" s="297"/>
      <c r="N249" s="297"/>
      <c r="O249" s="297"/>
      <c r="P249" s="297"/>
      <c r="Q249" s="297"/>
      <c r="R249" s="297"/>
      <c r="S249" s="297"/>
    </row>
    <row r="250" spans="1:19" x14ac:dyDescent="0.25">
      <c r="A250" s="297"/>
      <c r="B250" s="297"/>
      <c r="C250" s="297"/>
      <c r="D250" s="297"/>
      <c r="E250" s="297"/>
      <c r="G250" s="297"/>
      <c r="H250" s="297"/>
      <c r="I250" s="297"/>
      <c r="J250" s="297"/>
      <c r="K250" s="297"/>
      <c r="L250" s="297"/>
      <c r="M250" s="297"/>
      <c r="N250" s="297"/>
      <c r="O250" s="297"/>
      <c r="P250" s="297"/>
      <c r="Q250" s="297"/>
      <c r="R250" s="297"/>
      <c r="S250" s="297"/>
    </row>
    <row r="251" spans="1:19" x14ac:dyDescent="0.25">
      <c r="A251" s="297"/>
      <c r="B251" s="297"/>
      <c r="C251" s="297"/>
      <c r="D251" s="297"/>
      <c r="E251" s="297"/>
      <c r="G251" s="297"/>
      <c r="H251" s="297"/>
      <c r="I251" s="297"/>
      <c r="J251" s="297"/>
      <c r="K251" s="297"/>
      <c r="L251" s="297"/>
      <c r="M251" s="297"/>
      <c r="N251" s="297"/>
      <c r="O251" s="297"/>
      <c r="P251" s="297"/>
      <c r="Q251" s="297"/>
      <c r="R251" s="297"/>
      <c r="S251" s="297"/>
    </row>
    <row r="252" spans="1:19" x14ac:dyDescent="0.25">
      <c r="A252" s="297"/>
      <c r="B252" s="297"/>
      <c r="C252" s="297"/>
      <c r="D252" s="297"/>
      <c r="E252" s="297"/>
      <c r="G252" s="297"/>
      <c r="H252" s="297"/>
      <c r="I252" s="297"/>
      <c r="J252" s="297"/>
      <c r="K252" s="297"/>
      <c r="L252" s="297"/>
      <c r="M252" s="297"/>
      <c r="N252" s="297"/>
      <c r="O252" s="297"/>
      <c r="P252" s="297"/>
      <c r="Q252" s="297"/>
      <c r="R252" s="297"/>
      <c r="S252" s="297"/>
    </row>
  </sheetData>
  <mergeCells count="5">
    <mergeCell ref="B3:B4"/>
    <mergeCell ref="C3:E3"/>
    <mergeCell ref="C4:D4"/>
    <mergeCell ref="D2:E2"/>
    <mergeCell ref="B27:E27"/>
  </mergeCells>
  <pageMargins left="0.74803149606299213" right="0.74803149606299213" top="0.51181102362204722" bottom="0.6692913385826772" header="0.51181102362204722" footer="0.51181102362204722"/>
  <pageSetup paperSize="9" scale="8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79998168889431442"/>
  </sheetPr>
  <dimension ref="A1:M34"/>
  <sheetViews>
    <sheetView zoomScaleNormal="100" workbookViewId="0">
      <selection activeCell="C3" sqref="C3"/>
    </sheetView>
  </sheetViews>
  <sheetFormatPr defaultRowHeight="12.5" x14ac:dyDescent="0.25"/>
  <cols>
    <col min="1" max="1" width="21.453125" customWidth="1"/>
    <col min="2" max="2" width="31.1796875" customWidth="1"/>
    <col min="3" max="3" width="15.90625" customWidth="1"/>
    <col min="4" max="4" width="5" customWidth="1"/>
    <col min="5" max="5" width="11.1796875" bestFit="1" customWidth="1"/>
    <col min="6" max="6" width="10.1796875" bestFit="1" customWidth="1"/>
    <col min="257" max="257" width="21.453125" customWidth="1"/>
    <col min="258" max="258" width="24.453125" customWidth="1"/>
    <col min="259" max="259" width="12.81640625" customWidth="1"/>
    <col min="260" max="260" width="5" customWidth="1"/>
    <col min="513" max="513" width="21.453125" customWidth="1"/>
    <col min="514" max="514" width="24.453125" customWidth="1"/>
    <col min="515" max="515" width="12.81640625" customWidth="1"/>
    <col min="516" max="516" width="5" customWidth="1"/>
    <col min="769" max="769" width="21.453125" customWidth="1"/>
    <col min="770" max="770" width="24.453125" customWidth="1"/>
    <col min="771" max="771" width="12.81640625" customWidth="1"/>
    <col min="772" max="772" width="5" customWidth="1"/>
    <col min="1025" max="1025" width="21.453125" customWidth="1"/>
    <col min="1026" max="1026" width="24.453125" customWidth="1"/>
    <col min="1027" max="1027" width="12.81640625" customWidth="1"/>
    <col min="1028" max="1028" width="5" customWidth="1"/>
    <col min="1281" max="1281" width="21.453125" customWidth="1"/>
    <col min="1282" max="1282" width="24.453125" customWidth="1"/>
    <col min="1283" max="1283" width="12.81640625" customWidth="1"/>
    <col min="1284" max="1284" width="5" customWidth="1"/>
    <col min="1537" max="1537" width="21.453125" customWidth="1"/>
    <col min="1538" max="1538" width="24.453125" customWidth="1"/>
    <col min="1539" max="1539" width="12.81640625" customWidth="1"/>
    <col min="1540" max="1540" width="5" customWidth="1"/>
    <col min="1793" max="1793" width="21.453125" customWidth="1"/>
    <col min="1794" max="1794" width="24.453125" customWidth="1"/>
    <col min="1795" max="1795" width="12.81640625" customWidth="1"/>
    <col min="1796" max="1796" width="5" customWidth="1"/>
    <col min="2049" max="2049" width="21.453125" customWidth="1"/>
    <col min="2050" max="2050" width="24.453125" customWidth="1"/>
    <col min="2051" max="2051" width="12.81640625" customWidth="1"/>
    <col min="2052" max="2052" width="5" customWidth="1"/>
    <col min="2305" max="2305" width="21.453125" customWidth="1"/>
    <col min="2306" max="2306" width="24.453125" customWidth="1"/>
    <col min="2307" max="2307" width="12.81640625" customWidth="1"/>
    <col min="2308" max="2308" width="5" customWidth="1"/>
    <col min="2561" max="2561" width="21.453125" customWidth="1"/>
    <col min="2562" max="2562" width="24.453125" customWidth="1"/>
    <col min="2563" max="2563" width="12.81640625" customWidth="1"/>
    <col min="2564" max="2564" width="5" customWidth="1"/>
    <col min="2817" max="2817" width="21.453125" customWidth="1"/>
    <col min="2818" max="2818" width="24.453125" customWidth="1"/>
    <col min="2819" max="2819" width="12.81640625" customWidth="1"/>
    <col min="2820" max="2820" width="5" customWidth="1"/>
    <col min="3073" max="3073" width="21.453125" customWidth="1"/>
    <col min="3074" max="3074" width="24.453125" customWidth="1"/>
    <col min="3075" max="3075" width="12.81640625" customWidth="1"/>
    <col min="3076" max="3076" width="5" customWidth="1"/>
    <col min="3329" max="3329" width="21.453125" customWidth="1"/>
    <col min="3330" max="3330" width="24.453125" customWidth="1"/>
    <col min="3331" max="3331" width="12.81640625" customWidth="1"/>
    <col min="3332" max="3332" width="5" customWidth="1"/>
    <col min="3585" max="3585" width="21.453125" customWidth="1"/>
    <col min="3586" max="3586" width="24.453125" customWidth="1"/>
    <col min="3587" max="3587" width="12.81640625" customWidth="1"/>
    <col min="3588" max="3588" width="5" customWidth="1"/>
    <col min="3841" max="3841" width="21.453125" customWidth="1"/>
    <col min="3842" max="3842" width="24.453125" customWidth="1"/>
    <col min="3843" max="3843" width="12.81640625" customWidth="1"/>
    <col min="3844" max="3844" width="5" customWidth="1"/>
    <col min="4097" max="4097" width="21.453125" customWidth="1"/>
    <col min="4098" max="4098" width="24.453125" customWidth="1"/>
    <col min="4099" max="4099" width="12.81640625" customWidth="1"/>
    <col min="4100" max="4100" width="5" customWidth="1"/>
    <col min="4353" max="4353" width="21.453125" customWidth="1"/>
    <col min="4354" max="4354" width="24.453125" customWidth="1"/>
    <col min="4355" max="4355" width="12.81640625" customWidth="1"/>
    <col min="4356" max="4356" width="5" customWidth="1"/>
    <col min="4609" max="4609" width="21.453125" customWidth="1"/>
    <col min="4610" max="4610" width="24.453125" customWidth="1"/>
    <col min="4611" max="4611" width="12.81640625" customWidth="1"/>
    <col min="4612" max="4612" width="5" customWidth="1"/>
    <col min="4865" max="4865" width="21.453125" customWidth="1"/>
    <col min="4866" max="4866" width="24.453125" customWidth="1"/>
    <col min="4867" max="4867" width="12.81640625" customWidth="1"/>
    <col min="4868" max="4868" width="5" customWidth="1"/>
    <col min="5121" max="5121" width="21.453125" customWidth="1"/>
    <col min="5122" max="5122" width="24.453125" customWidth="1"/>
    <col min="5123" max="5123" width="12.81640625" customWidth="1"/>
    <col min="5124" max="5124" width="5" customWidth="1"/>
    <col min="5377" max="5377" width="21.453125" customWidth="1"/>
    <col min="5378" max="5378" width="24.453125" customWidth="1"/>
    <col min="5379" max="5379" width="12.81640625" customWidth="1"/>
    <col min="5380" max="5380" width="5" customWidth="1"/>
    <col min="5633" max="5633" width="21.453125" customWidth="1"/>
    <col min="5634" max="5634" width="24.453125" customWidth="1"/>
    <col min="5635" max="5635" width="12.81640625" customWidth="1"/>
    <col min="5636" max="5636" width="5" customWidth="1"/>
    <col min="5889" max="5889" width="21.453125" customWidth="1"/>
    <col min="5890" max="5890" width="24.453125" customWidth="1"/>
    <col min="5891" max="5891" width="12.81640625" customWidth="1"/>
    <col min="5892" max="5892" width="5" customWidth="1"/>
    <col min="6145" max="6145" width="21.453125" customWidth="1"/>
    <col min="6146" max="6146" width="24.453125" customWidth="1"/>
    <col min="6147" max="6147" width="12.81640625" customWidth="1"/>
    <col min="6148" max="6148" width="5" customWidth="1"/>
    <col min="6401" max="6401" width="21.453125" customWidth="1"/>
    <col min="6402" max="6402" width="24.453125" customWidth="1"/>
    <col min="6403" max="6403" width="12.81640625" customWidth="1"/>
    <col min="6404" max="6404" width="5" customWidth="1"/>
    <col min="6657" max="6657" width="21.453125" customWidth="1"/>
    <col min="6658" max="6658" width="24.453125" customWidth="1"/>
    <col min="6659" max="6659" width="12.81640625" customWidth="1"/>
    <col min="6660" max="6660" width="5" customWidth="1"/>
    <col min="6913" max="6913" width="21.453125" customWidth="1"/>
    <col min="6914" max="6914" width="24.453125" customWidth="1"/>
    <col min="6915" max="6915" width="12.81640625" customWidth="1"/>
    <col min="6916" max="6916" width="5" customWidth="1"/>
    <col min="7169" max="7169" width="21.453125" customWidth="1"/>
    <col min="7170" max="7170" width="24.453125" customWidth="1"/>
    <col min="7171" max="7171" width="12.81640625" customWidth="1"/>
    <col min="7172" max="7172" width="5" customWidth="1"/>
    <col min="7425" max="7425" width="21.453125" customWidth="1"/>
    <col min="7426" max="7426" width="24.453125" customWidth="1"/>
    <col min="7427" max="7427" width="12.81640625" customWidth="1"/>
    <col min="7428" max="7428" width="5" customWidth="1"/>
    <col min="7681" max="7681" width="21.453125" customWidth="1"/>
    <col min="7682" max="7682" width="24.453125" customWidth="1"/>
    <col min="7683" max="7683" width="12.81640625" customWidth="1"/>
    <col min="7684" max="7684" width="5" customWidth="1"/>
    <col min="7937" max="7937" width="21.453125" customWidth="1"/>
    <col min="7938" max="7938" width="24.453125" customWidth="1"/>
    <col min="7939" max="7939" width="12.81640625" customWidth="1"/>
    <col min="7940" max="7940" width="5" customWidth="1"/>
    <col min="8193" max="8193" width="21.453125" customWidth="1"/>
    <col min="8194" max="8194" width="24.453125" customWidth="1"/>
    <col min="8195" max="8195" width="12.81640625" customWidth="1"/>
    <col min="8196" max="8196" width="5" customWidth="1"/>
    <col min="8449" max="8449" width="21.453125" customWidth="1"/>
    <col min="8450" max="8450" width="24.453125" customWidth="1"/>
    <col min="8451" max="8451" width="12.81640625" customWidth="1"/>
    <col min="8452" max="8452" width="5" customWidth="1"/>
    <col min="8705" max="8705" width="21.453125" customWidth="1"/>
    <col min="8706" max="8706" width="24.453125" customWidth="1"/>
    <col min="8707" max="8707" width="12.81640625" customWidth="1"/>
    <col min="8708" max="8708" width="5" customWidth="1"/>
    <col min="8961" max="8961" width="21.453125" customWidth="1"/>
    <col min="8962" max="8962" width="24.453125" customWidth="1"/>
    <col min="8963" max="8963" width="12.81640625" customWidth="1"/>
    <col min="8964" max="8964" width="5" customWidth="1"/>
    <col min="9217" max="9217" width="21.453125" customWidth="1"/>
    <col min="9218" max="9218" width="24.453125" customWidth="1"/>
    <col min="9219" max="9219" width="12.81640625" customWidth="1"/>
    <col min="9220" max="9220" width="5" customWidth="1"/>
    <col min="9473" max="9473" width="21.453125" customWidth="1"/>
    <col min="9474" max="9474" width="24.453125" customWidth="1"/>
    <col min="9475" max="9475" width="12.81640625" customWidth="1"/>
    <col min="9476" max="9476" width="5" customWidth="1"/>
    <col min="9729" max="9729" width="21.453125" customWidth="1"/>
    <col min="9730" max="9730" width="24.453125" customWidth="1"/>
    <col min="9731" max="9731" width="12.81640625" customWidth="1"/>
    <col min="9732" max="9732" width="5" customWidth="1"/>
    <col min="9985" max="9985" width="21.453125" customWidth="1"/>
    <col min="9986" max="9986" width="24.453125" customWidth="1"/>
    <col min="9987" max="9987" width="12.81640625" customWidth="1"/>
    <col min="9988" max="9988" width="5" customWidth="1"/>
    <col min="10241" max="10241" width="21.453125" customWidth="1"/>
    <col min="10242" max="10242" width="24.453125" customWidth="1"/>
    <col min="10243" max="10243" width="12.81640625" customWidth="1"/>
    <col min="10244" max="10244" width="5" customWidth="1"/>
    <col min="10497" max="10497" width="21.453125" customWidth="1"/>
    <col min="10498" max="10498" width="24.453125" customWidth="1"/>
    <col min="10499" max="10499" width="12.81640625" customWidth="1"/>
    <col min="10500" max="10500" width="5" customWidth="1"/>
    <col min="10753" max="10753" width="21.453125" customWidth="1"/>
    <col min="10754" max="10754" width="24.453125" customWidth="1"/>
    <col min="10755" max="10755" width="12.81640625" customWidth="1"/>
    <col min="10756" max="10756" width="5" customWidth="1"/>
    <col min="11009" max="11009" width="21.453125" customWidth="1"/>
    <col min="11010" max="11010" width="24.453125" customWidth="1"/>
    <col min="11011" max="11011" width="12.81640625" customWidth="1"/>
    <col min="11012" max="11012" width="5" customWidth="1"/>
    <col min="11265" max="11265" width="21.453125" customWidth="1"/>
    <col min="11266" max="11266" width="24.453125" customWidth="1"/>
    <col min="11267" max="11267" width="12.81640625" customWidth="1"/>
    <col min="11268" max="11268" width="5" customWidth="1"/>
    <col min="11521" max="11521" width="21.453125" customWidth="1"/>
    <col min="11522" max="11522" width="24.453125" customWidth="1"/>
    <col min="11523" max="11523" width="12.81640625" customWidth="1"/>
    <col min="11524" max="11524" width="5" customWidth="1"/>
    <col min="11777" max="11777" width="21.453125" customWidth="1"/>
    <col min="11778" max="11778" width="24.453125" customWidth="1"/>
    <col min="11779" max="11779" width="12.81640625" customWidth="1"/>
    <col min="11780" max="11780" width="5" customWidth="1"/>
    <col min="12033" max="12033" width="21.453125" customWidth="1"/>
    <col min="12034" max="12034" width="24.453125" customWidth="1"/>
    <col min="12035" max="12035" width="12.81640625" customWidth="1"/>
    <col min="12036" max="12036" width="5" customWidth="1"/>
    <col min="12289" max="12289" width="21.453125" customWidth="1"/>
    <col min="12290" max="12290" width="24.453125" customWidth="1"/>
    <col min="12291" max="12291" width="12.81640625" customWidth="1"/>
    <col min="12292" max="12292" width="5" customWidth="1"/>
    <col min="12545" max="12545" width="21.453125" customWidth="1"/>
    <col min="12546" max="12546" width="24.453125" customWidth="1"/>
    <col min="12547" max="12547" width="12.81640625" customWidth="1"/>
    <col min="12548" max="12548" width="5" customWidth="1"/>
    <col min="12801" max="12801" width="21.453125" customWidth="1"/>
    <col min="12802" max="12802" width="24.453125" customWidth="1"/>
    <col min="12803" max="12803" width="12.81640625" customWidth="1"/>
    <col min="12804" max="12804" width="5" customWidth="1"/>
    <col min="13057" max="13057" width="21.453125" customWidth="1"/>
    <col min="13058" max="13058" width="24.453125" customWidth="1"/>
    <col min="13059" max="13059" width="12.81640625" customWidth="1"/>
    <col min="13060" max="13060" width="5" customWidth="1"/>
    <col min="13313" max="13313" width="21.453125" customWidth="1"/>
    <col min="13314" max="13314" width="24.453125" customWidth="1"/>
    <col min="13315" max="13315" width="12.81640625" customWidth="1"/>
    <col min="13316" max="13316" width="5" customWidth="1"/>
    <col min="13569" max="13569" width="21.453125" customWidth="1"/>
    <col min="13570" max="13570" width="24.453125" customWidth="1"/>
    <col min="13571" max="13571" width="12.81640625" customWidth="1"/>
    <col min="13572" max="13572" width="5" customWidth="1"/>
    <col min="13825" max="13825" width="21.453125" customWidth="1"/>
    <col min="13826" max="13826" width="24.453125" customWidth="1"/>
    <col min="13827" max="13827" width="12.81640625" customWidth="1"/>
    <col min="13828" max="13828" width="5" customWidth="1"/>
    <col min="14081" max="14081" width="21.453125" customWidth="1"/>
    <col min="14082" max="14082" width="24.453125" customWidth="1"/>
    <col min="14083" max="14083" width="12.81640625" customWidth="1"/>
    <col min="14084" max="14084" width="5" customWidth="1"/>
    <col min="14337" max="14337" width="21.453125" customWidth="1"/>
    <col min="14338" max="14338" width="24.453125" customWidth="1"/>
    <col min="14339" max="14339" width="12.81640625" customWidth="1"/>
    <col min="14340" max="14340" width="5" customWidth="1"/>
    <col min="14593" max="14593" width="21.453125" customWidth="1"/>
    <col min="14594" max="14594" width="24.453125" customWidth="1"/>
    <col min="14595" max="14595" width="12.81640625" customWidth="1"/>
    <col min="14596" max="14596" width="5" customWidth="1"/>
    <col min="14849" max="14849" width="21.453125" customWidth="1"/>
    <col min="14850" max="14850" width="24.453125" customWidth="1"/>
    <col min="14851" max="14851" width="12.81640625" customWidth="1"/>
    <col min="14852" max="14852" width="5" customWidth="1"/>
    <col min="15105" max="15105" width="21.453125" customWidth="1"/>
    <col min="15106" max="15106" width="24.453125" customWidth="1"/>
    <col min="15107" max="15107" width="12.81640625" customWidth="1"/>
    <col min="15108" max="15108" width="5" customWidth="1"/>
    <col min="15361" max="15361" width="21.453125" customWidth="1"/>
    <col min="15362" max="15362" width="24.453125" customWidth="1"/>
    <col min="15363" max="15363" width="12.81640625" customWidth="1"/>
    <col min="15364" max="15364" width="5" customWidth="1"/>
    <col min="15617" max="15617" width="21.453125" customWidth="1"/>
    <col min="15618" max="15618" width="24.453125" customWidth="1"/>
    <col min="15619" max="15619" width="12.81640625" customWidth="1"/>
    <col min="15620" max="15620" width="5" customWidth="1"/>
    <col min="15873" max="15873" width="21.453125" customWidth="1"/>
    <col min="15874" max="15874" width="24.453125" customWidth="1"/>
    <col min="15875" max="15875" width="12.81640625" customWidth="1"/>
    <col min="15876" max="15876" width="5" customWidth="1"/>
    <col min="16129" max="16129" width="21.453125" customWidth="1"/>
    <col min="16130" max="16130" width="24.453125" customWidth="1"/>
    <col min="16131" max="16131" width="12.81640625" customWidth="1"/>
    <col min="16132" max="16132" width="5" customWidth="1"/>
  </cols>
  <sheetData>
    <row r="1" spans="1:13" ht="13" x14ac:dyDescent="0.3">
      <c r="A1" s="3" t="s">
        <v>947</v>
      </c>
      <c r="B1" s="8"/>
      <c r="C1" s="89" t="s">
        <v>713</v>
      </c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13" x14ac:dyDescent="0.3">
      <c r="A2" s="8"/>
      <c r="B2" s="8"/>
      <c r="C2" s="8"/>
      <c r="D2" s="30" t="s">
        <v>472</v>
      </c>
      <c r="E2" s="8"/>
      <c r="F2" s="8"/>
      <c r="G2" s="8"/>
      <c r="H2" s="8"/>
      <c r="I2" s="8"/>
      <c r="J2" s="8"/>
      <c r="K2" s="8"/>
      <c r="L2" s="8"/>
      <c r="M2" s="8"/>
    </row>
    <row r="3" spans="1:13" x14ac:dyDescent="0.25">
      <c r="A3" s="61" t="s">
        <v>99</v>
      </c>
      <c r="B3" s="116"/>
      <c r="C3" s="193">
        <v>701359</v>
      </c>
      <c r="D3" s="116" t="s">
        <v>100</v>
      </c>
      <c r="E3" s="8"/>
      <c r="F3" s="8"/>
      <c r="G3" s="8"/>
      <c r="H3" s="8"/>
      <c r="I3" s="8"/>
      <c r="J3" s="8"/>
      <c r="K3" s="8"/>
      <c r="L3" s="8"/>
      <c r="M3" s="8"/>
    </row>
    <row r="4" spans="1:13" x14ac:dyDescent="0.25">
      <c r="A4" s="61" t="s">
        <v>101</v>
      </c>
      <c r="B4" s="116"/>
      <c r="C4" s="193">
        <v>1224826</v>
      </c>
      <c r="D4" s="116" t="s">
        <v>100</v>
      </c>
      <c r="E4" s="8"/>
      <c r="F4" s="8"/>
      <c r="G4" s="8"/>
      <c r="H4" s="8"/>
      <c r="I4" s="8"/>
      <c r="J4" s="8"/>
      <c r="K4" s="8"/>
      <c r="L4" s="8"/>
      <c r="M4" s="8"/>
    </row>
    <row r="5" spans="1:13" x14ac:dyDescent="0.25">
      <c r="A5" s="61" t="s">
        <v>102</v>
      </c>
      <c r="B5" s="116"/>
      <c r="C5" s="61">
        <v>0</v>
      </c>
      <c r="D5" s="116" t="s">
        <v>100</v>
      </c>
      <c r="E5" s="8"/>
      <c r="F5" s="8"/>
      <c r="G5" s="8"/>
      <c r="H5" s="8"/>
      <c r="I5" s="8"/>
      <c r="J5" s="8"/>
      <c r="K5" s="8"/>
      <c r="L5" s="8"/>
      <c r="M5" s="8"/>
    </row>
    <row r="6" spans="1:13" ht="45.75" customHeight="1" x14ac:dyDescent="0.35">
      <c r="A6" s="1149" t="s">
        <v>844</v>
      </c>
      <c r="B6" s="1150"/>
      <c r="C6" s="435">
        <v>17188548</v>
      </c>
      <c r="D6" s="356" t="s">
        <v>100</v>
      </c>
      <c r="E6" s="8"/>
      <c r="F6" s="8"/>
      <c r="G6" s="8"/>
      <c r="H6" s="8"/>
      <c r="I6" s="8"/>
      <c r="J6" s="8"/>
      <c r="K6" s="8"/>
      <c r="L6" s="8"/>
      <c r="M6" s="8"/>
    </row>
    <row r="7" spans="1:13" ht="30.75" customHeight="1" x14ac:dyDescent="0.35">
      <c r="A7" s="1149" t="s">
        <v>845</v>
      </c>
      <c r="B7" s="1150"/>
      <c r="C7" s="435">
        <v>58074687</v>
      </c>
      <c r="D7" s="356" t="s">
        <v>100</v>
      </c>
      <c r="E7" s="8"/>
      <c r="F7" s="8"/>
      <c r="G7" s="8"/>
      <c r="H7" s="8"/>
      <c r="I7" s="8"/>
      <c r="J7" s="8"/>
      <c r="K7" s="8"/>
      <c r="L7" s="8"/>
      <c r="M7" s="8"/>
    </row>
    <row r="8" spans="1:13" ht="24.75" customHeight="1" x14ac:dyDescent="0.35">
      <c r="A8" s="1149" t="s">
        <v>846</v>
      </c>
      <c r="B8" s="1150"/>
      <c r="C8" s="435">
        <v>12147150</v>
      </c>
      <c r="D8" s="356" t="s">
        <v>100</v>
      </c>
      <c r="E8" s="8"/>
      <c r="F8" s="8"/>
      <c r="G8" s="8"/>
      <c r="H8" s="8"/>
      <c r="I8" s="8"/>
      <c r="J8" s="8"/>
      <c r="K8" s="8"/>
      <c r="L8" s="8"/>
      <c r="M8" s="8"/>
    </row>
    <row r="9" spans="1:13" ht="27" customHeight="1" x14ac:dyDescent="0.35">
      <c r="A9" s="1149" t="s">
        <v>847</v>
      </c>
      <c r="B9" s="1150"/>
      <c r="C9" s="435">
        <v>19676674</v>
      </c>
      <c r="D9" s="356" t="s">
        <v>100</v>
      </c>
      <c r="E9" s="87"/>
      <c r="F9" s="8"/>
      <c r="G9" s="8"/>
      <c r="H9" s="8"/>
      <c r="I9" s="8"/>
      <c r="J9" s="8"/>
      <c r="K9" s="8"/>
      <c r="L9" s="8"/>
      <c r="M9" s="8"/>
    </row>
    <row r="10" spans="1:13" ht="27" customHeight="1" x14ac:dyDescent="0.25">
      <c r="A10" s="1149" t="s">
        <v>759</v>
      </c>
      <c r="B10" s="1150"/>
      <c r="C10" s="419"/>
      <c r="D10" s="356" t="s">
        <v>100</v>
      </c>
      <c r="E10" s="87"/>
      <c r="F10" s="8"/>
      <c r="G10" s="8"/>
      <c r="H10" s="8"/>
      <c r="I10" s="8"/>
      <c r="J10" s="8"/>
      <c r="K10" s="8"/>
      <c r="L10" s="8"/>
      <c r="M10" s="8"/>
    </row>
    <row r="11" spans="1:13" ht="27" customHeight="1" x14ac:dyDescent="0.25">
      <c r="A11" s="1149" t="s">
        <v>760</v>
      </c>
      <c r="B11" s="1150"/>
      <c r="C11" s="419"/>
      <c r="D11" s="356" t="s">
        <v>100</v>
      </c>
      <c r="E11" s="87"/>
      <c r="F11" s="8"/>
      <c r="G11" s="8"/>
      <c r="H11" s="8"/>
      <c r="I11" s="8"/>
      <c r="J11" s="8"/>
      <c r="K11" s="8"/>
      <c r="L11" s="8"/>
      <c r="M11" s="8"/>
    </row>
    <row r="12" spans="1:13" ht="42" customHeight="1" x14ac:dyDescent="0.25">
      <c r="A12" s="1149" t="s">
        <v>490</v>
      </c>
      <c r="B12" s="1150"/>
      <c r="C12" s="355">
        <v>13203501</v>
      </c>
      <c r="D12" s="356" t="s">
        <v>100</v>
      </c>
      <c r="E12" s="87"/>
      <c r="F12" s="8"/>
      <c r="G12" s="8"/>
      <c r="H12" s="8"/>
      <c r="I12" s="8"/>
      <c r="J12" s="8"/>
      <c r="K12" s="8"/>
      <c r="L12" s="8"/>
      <c r="M12" s="8"/>
    </row>
    <row r="13" spans="1:13" ht="13" x14ac:dyDescent="0.3">
      <c r="A13" s="81" t="s">
        <v>81</v>
      </c>
      <c r="B13" s="82"/>
      <c r="C13" s="83">
        <f>SUM(C3:C12)</f>
        <v>122216745</v>
      </c>
      <c r="D13" s="84" t="s">
        <v>100</v>
      </c>
      <c r="E13" s="8"/>
      <c r="F13" s="87"/>
      <c r="G13" s="8"/>
      <c r="H13" s="8"/>
      <c r="I13" s="8"/>
      <c r="J13" s="8"/>
      <c r="K13" s="8"/>
      <c r="L13" s="8"/>
      <c r="M13" s="8"/>
    </row>
    <row r="14" spans="1:13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1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</sheetData>
  <mergeCells count="7">
    <mergeCell ref="A12:B12"/>
    <mergeCell ref="A6:B6"/>
    <mergeCell ref="A7:B7"/>
    <mergeCell ref="A8:B8"/>
    <mergeCell ref="A9:B9"/>
    <mergeCell ref="A10:B10"/>
    <mergeCell ref="A11:B11"/>
  </mergeCell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 tint="0.79998168889431442"/>
  </sheetPr>
  <dimension ref="A1:Y40"/>
  <sheetViews>
    <sheetView zoomScale="95" zoomScaleNormal="95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J11" sqref="J11"/>
    </sheetView>
  </sheetViews>
  <sheetFormatPr defaultRowHeight="12.5" x14ac:dyDescent="0.25"/>
  <cols>
    <col min="1" max="1" width="31.81640625" customWidth="1"/>
    <col min="2" max="2" width="13" customWidth="1"/>
    <col min="3" max="3" width="16.54296875" customWidth="1"/>
    <col min="4" max="5" width="15.1796875" customWidth="1"/>
    <col min="6" max="6" width="16" customWidth="1"/>
    <col min="7" max="7" width="14.453125" customWidth="1"/>
    <col min="8" max="8" width="15.81640625" customWidth="1"/>
    <col min="9" max="9" width="14" customWidth="1"/>
    <col min="10" max="10" width="14.81640625" customWidth="1"/>
    <col min="11" max="11" width="14.54296875" customWidth="1"/>
    <col min="12" max="12" width="19" customWidth="1"/>
    <col min="13" max="13" width="14" customWidth="1"/>
    <col min="14" max="14" width="14.08984375" bestFit="1" customWidth="1"/>
    <col min="15" max="15" width="14.08984375" style="390" bestFit="1" customWidth="1"/>
    <col min="16" max="16" width="13" bestFit="1" customWidth="1"/>
    <col min="17" max="17" width="15.81640625" style="390" customWidth="1"/>
    <col min="18" max="18" width="14" style="390" customWidth="1"/>
    <col min="19" max="19" width="17.453125" style="390" bestFit="1" customWidth="1"/>
    <col min="20" max="20" width="15.54296875" style="390" bestFit="1" customWidth="1"/>
    <col min="21" max="23" width="8.81640625" style="390"/>
    <col min="24" max="25" width="8.81640625" style="8"/>
    <col min="255" max="255" width="27.1796875" customWidth="1"/>
    <col min="256" max="256" width="10.1796875" customWidth="1"/>
    <col min="257" max="257" width="9.81640625" customWidth="1"/>
    <col min="260" max="260" width="10" customWidth="1"/>
    <col min="261" max="261" width="10.81640625" customWidth="1"/>
    <col min="262" max="262" width="9.54296875" bestFit="1" customWidth="1"/>
    <col min="263" max="263" width="9.81640625" bestFit="1" customWidth="1"/>
    <col min="264" max="264" width="9.81640625" customWidth="1"/>
    <col min="265" max="266" width="9.81640625" bestFit="1" customWidth="1"/>
    <col min="267" max="267" width="10.1796875" customWidth="1"/>
    <col min="268" max="269" width="10.81640625" customWidth="1"/>
    <col min="511" max="511" width="27.1796875" customWidth="1"/>
    <col min="512" max="512" width="10.1796875" customWidth="1"/>
    <col min="513" max="513" width="9.81640625" customWidth="1"/>
    <col min="516" max="516" width="10" customWidth="1"/>
    <col min="517" max="517" width="10.81640625" customWidth="1"/>
    <col min="518" max="518" width="9.54296875" bestFit="1" customWidth="1"/>
    <col min="519" max="519" width="9.81640625" bestFit="1" customWidth="1"/>
    <col min="520" max="520" width="9.81640625" customWidth="1"/>
    <col min="521" max="522" width="9.81640625" bestFit="1" customWidth="1"/>
    <col min="523" max="523" width="10.1796875" customWidth="1"/>
    <col min="524" max="525" width="10.81640625" customWidth="1"/>
    <col min="767" max="767" width="27.1796875" customWidth="1"/>
    <col min="768" max="768" width="10.1796875" customWidth="1"/>
    <col min="769" max="769" width="9.81640625" customWidth="1"/>
    <col min="772" max="772" width="10" customWidth="1"/>
    <col min="773" max="773" width="10.81640625" customWidth="1"/>
    <col min="774" max="774" width="9.54296875" bestFit="1" customWidth="1"/>
    <col min="775" max="775" width="9.81640625" bestFit="1" customWidth="1"/>
    <col min="776" max="776" width="9.81640625" customWidth="1"/>
    <col min="777" max="778" width="9.81640625" bestFit="1" customWidth="1"/>
    <col min="779" max="779" width="10.1796875" customWidth="1"/>
    <col min="780" max="781" width="10.81640625" customWidth="1"/>
    <col min="1023" max="1023" width="27.1796875" customWidth="1"/>
    <col min="1024" max="1024" width="10.1796875" customWidth="1"/>
    <col min="1025" max="1025" width="9.81640625" customWidth="1"/>
    <col min="1028" max="1028" width="10" customWidth="1"/>
    <col min="1029" max="1029" width="10.81640625" customWidth="1"/>
    <col min="1030" max="1030" width="9.54296875" bestFit="1" customWidth="1"/>
    <col min="1031" max="1031" width="9.81640625" bestFit="1" customWidth="1"/>
    <col min="1032" max="1032" width="9.81640625" customWidth="1"/>
    <col min="1033" max="1034" width="9.81640625" bestFit="1" customWidth="1"/>
    <col min="1035" max="1035" width="10.1796875" customWidth="1"/>
    <col min="1036" max="1037" width="10.81640625" customWidth="1"/>
    <col min="1279" max="1279" width="27.1796875" customWidth="1"/>
    <col min="1280" max="1280" width="10.1796875" customWidth="1"/>
    <col min="1281" max="1281" width="9.81640625" customWidth="1"/>
    <col min="1284" max="1284" width="10" customWidth="1"/>
    <col min="1285" max="1285" width="10.81640625" customWidth="1"/>
    <col min="1286" max="1286" width="9.54296875" bestFit="1" customWidth="1"/>
    <col min="1287" max="1287" width="9.81640625" bestFit="1" customWidth="1"/>
    <col min="1288" max="1288" width="9.81640625" customWidth="1"/>
    <col min="1289" max="1290" width="9.81640625" bestFit="1" customWidth="1"/>
    <col min="1291" max="1291" width="10.1796875" customWidth="1"/>
    <col min="1292" max="1293" width="10.81640625" customWidth="1"/>
    <col min="1535" max="1535" width="27.1796875" customWidth="1"/>
    <col min="1536" max="1536" width="10.1796875" customWidth="1"/>
    <col min="1537" max="1537" width="9.81640625" customWidth="1"/>
    <col min="1540" max="1540" width="10" customWidth="1"/>
    <col min="1541" max="1541" width="10.81640625" customWidth="1"/>
    <col min="1542" max="1542" width="9.54296875" bestFit="1" customWidth="1"/>
    <col min="1543" max="1543" width="9.81640625" bestFit="1" customWidth="1"/>
    <col min="1544" max="1544" width="9.81640625" customWidth="1"/>
    <col min="1545" max="1546" width="9.81640625" bestFit="1" customWidth="1"/>
    <col min="1547" max="1547" width="10.1796875" customWidth="1"/>
    <col min="1548" max="1549" width="10.81640625" customWidth="1"/>
    <col min="1791" max="1791" width="27.1796875" customWidth="1"/>
    <col min="1792" max="1792" width="10.1796875" customWidth="1"/>
    <col min="1793" max="1793" width="9.81640625" customWidth="1"/>
    <col min="1796" max="1796" width="10" customWidth="1"/>
    <col min="1797" max="1797" width="10.81640625" customWidth="1"/>
    <col min="1798" max="1798" width="9.54296875" bestFit="1" customWidth="1"/>
    <col min="1799" max="1799" width="9.81640625" bestFit="1" customWidth="1"/>
    <col min="1800" max="1800" width="9.81640625" customWidth="1"/>
    <col min="1801" max="1802" width="9.81640625" bestFit="1" customWidth="1"/>
    <col min="1803" max="1803" width="10.1796875" customWidth="1"/>
    <col min="1804" max="1805" width="10.81640625" customWidth="1"/>
    <col min="2047" max="2047" width="27.1796875" customWidth="1"/>
    <col min="2048" max="2048" width="10.1796875" customWidth="1"/>
    <col min="2049" max="2049" width="9.81640625" customWidth="1"/>
    <col min="2052" max="2052" width="10" customWidth="1"/>
    <col min="2053" max="2053" width="10.81640625" customWidth="1"/>
    <col min="2054" max="2054" width="9.54296875" bestFit="1" customWidth="1"/>
    <col min="2055" max="2055" width="9.81640625" bestFit="1" customWidth="1"/>
    <col min="2056" max="2056" width="9.81640625" customWidth="1"/>
    <col min="2057" max="2058" width="9.81640625" bestFit="1" customWidth="1"/>
    <col min="2059" max="2059" width="10.1796875" customWidth="1"/>
    <col min="2060" max="2061" width="10.81640625" customWidth="1"/>
    <col min="2303" max="2303" width="27.1796875" customWidth="1"/>
    <col min="2304" max="2304" width="10.1796875" customWidth="1"/>
    <col min="2305" max="2305" width="9.81640625" customWidth="1"/>
    <col min="2308" max="2308" width="10" customWidth="1"/>
    <col min="2309" max="2309" width="10.81640625" customWidth="1"/>
    <col min="2310" max="2310" width="9.54296875" bestFit="1" customWidth="1"/>
    <col min="2311" max="2311" width="9.81640625" bestFit="1" customWidth="1"/>
    <col min="2312" max="2312" width="9.81640625" customWidth="1"/>
    <col min="2313" max="2314" width="9.81640625" bestFit="1" customWidth="1"/>
    <col min="2315" max="2315" width="10.1796875" customWidth="1"/>
    <col min="2316" max="2317" width="10.81640625" customWidth="1"/>
    <col min="2559" max="2559" width="27.1796875" customWidth="1"/>
    <col min="2560" max="2560" width="10.1796875" customWidth="1"/>
    <col min="2561" max="2561" width="9.81640625" customWidth="1"/>
    <col min="2564" max="2564" width="10" customWidth="1"/>
    <col min="2565" max="2565" width="10.81640625" customWidth="1"/>
    <col min="2566" max="2566" width="9.54296875" bestFit="1" customWidth="1"/>
    <col min="2567" max="2567" width="9.81640625" bestFit="1" customWidth="1"/>
    <col min="2568" max="2568" width="9.81640625" customWidth="1"/>
    <col min="2569" max="2570" width="9.81640625" bestFit="1" customWidth="1"/>
    <col min="2571" max="2571" width="10.1796875" customWidth="1"/>
    <col min="2572" max="2573" width="10.81640625" customWidth="1"/>
    <col min="2815" max="2815" width="27.1796875" customWidth="1"/>
    <col min="2816" max="2816" width="10.1796875" customWidth="1"/>
    <col min="2817" max="2817" width="9.81640625" customWidth="1"/>
    <col min="2820" max="2820" width="10" customWidth="1"/>
    <col min="2821" max="2821" width="10.81640625" customWidth="1"/>
    <col min="2822" max="2822" width="9.54296875" bestFit="1" customWidth="1"/>
    <col min="2823" max="2823" width="9.81640625" bestFit="1" customWidth="1"/>
    <col min="2824" max="2824" width="9.81640625" customWidth="1"/>
    <col min="2825" max="2826" width="9.81640625" bestFit="1" customWidth="1"/>
    <col min="2827" max="2827" width="10.1796875" customWidth="1"/>
    <col min="2828" max="2829" width="10.81640625" customWidth="1"/>
    <col min="3071" max="3071" width="27.1796875" customWidth="1"/>
    <col min="3072" max="3072" width="10.1796875" customWidth="1"/>
    <col min="3073" max="3073" width="9.81640625" customWidth="1"/>
    <col min="3076" max="3076" width="10" customWidth="1"/>
    <col min="3077" max="3077" width="10.81640625" customWidth="1"/>
    <col min="3078" max="3078" width="9.54296875" bestFit="1" customWidth="1"/>
    <col min="3079" max="3079" width="9.81640625" bestFit="1" customWidth="1"/>
    <col min="3080" max="3080" width="9.81640625" customWidth="1"/>
    <col min="3081" max="3082" width="9.81640625" bestFit="1" customWidth="1"/>
    <col min="3083" max="3083" width="10.1796875" customWidth="1"/>
    <col min="3084" max="3085" width="10.81640625" customWidth="1"/>
    <col min="3327" max="3327" width="27.1796875" customWidth="1"/>
    <col min="3328" max="3328" width="10.1796875" customWidth="1"/>
    <col min="3329" max="3329" width="9.81640625" customWidth="1"/>
    <col min="3332" max="3332" width="10" customWidth="1"/>
    <col min="3333" max="3333" width="10.81640625" customWidth="1"/>
    <col min="3334" max="3334" width="9.54296875" bestFit="1" customWidth="1"/>
    <col min="3335" max="3335" width="9.81640625" bestFit="1" customWidth="1"/>
    <col min="3336" max="3336" width="9.81640625" customWidth="1"/>
    <col min="3337" max="3338" width="9.81640625" bestFit="1" customWidth="1"/>
    <col min="3339" max="3339" width="10.1796875" customWidth="1"/>
    <col min="3340" max="3341" width="10.81640625" customWidth="1"/>
    <col min="3583" max="3583" width="27.1796875" customWidth="1"/>
    <col min="3584" max="3584" width="10.1796875" customWidth="1"/>
    <col min="3585" max="3585" width="9.81640625" customWidth="1"/>
    <col min="3588" max="3588" width="10" customWidth="1"/>
    <col min="3589" max="3589" width="10.81640625" customWidth="1"/>
    <col min="3590" max="3590" width="9.54296875" bestFit="1" customWidth="1"/>
    <col min="3591" max="3591" width="9.81640625" bestFit="1" customWidth="1"/>
    <col min="3592" max="3592" width="9.81640625" customWidth="1"/>
    <col min="3593" max="3594" width="9.81640625" bestFit="1" customWidth="1"/>
    <col min="3595" max="3595" width="10.1796875" customWidth="1"/>
    <col min="3596" max="3597" width="10.81640625" customWidth="1"/>
    <col min="3839" max="3839" width="27.1796875" customWidth="1"/>
    <col min="3840" max="3840" width="10.1796875" customWidth="1"/>
    <col min="3841" max="3841" width="9.81640625" customWidth="1"/>
    <col min="3844" max="3844" width="10" customWidth="1"/>
    <col min="3845" max="3845" width="10.81640625" customWidth="1"/>
    <col min="3846" max="3846" width="9.54296875" bestFit="1" customWidth="1"/>
    <col min="3847" max="3847" width="9.81640625" bestFit="1" customWidth="1"/>
    <col min="3848" max="3848" width="9.81640625" customWidth="1"/>
    <col min="3849" max="3850" width="9.81640625" bestFit="1" customWidth="1"/>
    <col min="3851" max="3851" width="10.1796875" customWidth="1"/>
    <col min="3852" max="3853" width="10.81640625" customWidth="1"/>
    <col min="4095" max="4095" width="27.1796875" customWidth="1"/>
    <col min="4096" max="4096" width="10.1796875" customWidth="1"/>
    <col min="4097" max="4097" width="9.81640625" customWidth="1"/>
    <col min="4100" max="4100" width="10" customWidth="1"/>
    <col min="4101" max="4101" width="10.81640625" customWidth="1"/>
    <col min="4102" max="4102" width="9.54296875" bestFit="1" customWidth="1"/>
    <col min="4103" max="4103" width="9.81640625" bestFit="1" customWidth="1"/>
    <col min="4104" max="4104" width="9.81640625" customWidth="1"/>
    <col min="4105" max="4106" width="9.81640625" bestFit="1" customWidth="1"/>
    <col min="4107" max="4107" width="10.1796875" customWidth="1"/>
    <col min="4108" max="4109" width="10.81640625" customWidth="1"/>
    <col min="4351" max="4351" width="27.1796875" customWidth="1"/>
    <col min="4352" max="4352" width="10.1796875" customWidth="1"/>
    <col min="4353" max="4353" width="9.81640625" customWidth="1"/>
    <col min="4356" max="4356" width="10" customWidth="1"/>
    <col min="4357" max="4357" width="10.81640625" customWidth="1"/>
    <col min="4358" max="4358" width="9.54296875" bestFit="1" customWidth="1"/>
    <col min="4359" max="4359" width="9.81640625" bestFit="1" customWidth="1"/>
    <col min="4360" max="4360" width="9.81640625" customWidth="1"/>
    <col min="4361" max="4362" width="9.81640625" bestFit="1" customWidth="1"/>
    <col min="4363" max="4363" width="10.1796875" customWidth="1"/>
    <col min="4364" max="4365" width="10.81640625" customWidth="1"/>
    <col min="4607" max="4607" width="27.1796875" customWidth="1"/>
    <col min="4608" max="4608" width="10.1796875" customWidth="1"/>
    <col min="4609" max="4609" width="9.81640625" customWidth="1"/>
    <col min="4612" max="4612" width="10" customWidth="1"/>
    <col min="4613" max="4613" width="10.81640625" customWidth="1"/>
    <col min="4614" max="4614" width="9.54296875" bestFit="1" customWidth="1"/>
    <col min="4615" max="4615" width="9.81640625" bestFit="1" customWidth="1"/>
    <col min="4616" max="4616" width="9.81640625" customWidth="1"/>
    <col min="4617" max="4618" width="9.81640625" bestFit="1" customWidth="1"/>
    <col min="4619" max="4619" width="10.1796875" customWidth="1"/>
    <col min="4620" max="4621" width="10.81640625" customWidth="1"/>
    <col min="4863" max="4863" width="27.1796875" customWidth="1"/>
    <col min="4864" max="4864" width="10.1796875" customWidth="1"/>
    <col min="4865" max="4865" width="9.81640625" customWidth="1"/>
    <col min="4868" max="4868" width="10" customWidth="1"/>
    <col min="4869" max="4869" width="10.81640625" customWidth="1"/>
    <col min="4870" max="4870" width="9.54296875" bestFit="1" customWidth="1"/>
    <col min="4871" max="4871" width="9.81640625" bestFit="1" customWidth="1"/>
    <col min="4872" max="4872" width="9.81640625" customWidth="1"/>
    <col min="4873" max="4874" width="9.81640625" bestFit="1" customWidth="1"/>
    <col min="4875" max="4875" width="10.1796875" customWidth="1"/>
    <col min="4876" max="4877" width="10.81640625" customWidth="1"/>
    <col min="5119" max="5119" width="27.1796875" customWidth="1"/>
    <col min="5120" max="5120" width="10.1796875" customWidth="1"/>
    <col min="5121" max="5121" width="9.81640625" customWidth="1"/>
    <col min="5124" max="5124" width="10" customWidth="1"/>
    <col min="5125" max="5125" width="10.81640625" customWidth="1"/>
    <col min="5126" max="5126" width="9.54296875" bestFit="1" customWidth="1"/>
    <col min="5127" max="5127" width="9.81640625" bestFit="1" customWidth="1"/>
    <col min="5128" max="5128" width="9.81640625" customWidth="1"/>
    <col min="5129" max="5130" width="9.81640625" bestFit="1" customWidth="1"/>
    <col min="5131" max="5131" width="10.1796875" customWidth="1"/>
    <col min="5132" max="5133" width="10.81640625" customWidth="1"/>
    <col min="5375" max="5375" width="27.1796875" customWidth="1"/>
    <col min="5376" max="5376" width="10.1796875" customWidth="1"/>
    <col min="5377" max="5377" width="9.81640625" customWidth="1"/>
    <col min="5380" max="5380" width="10" customWidth="1"/>
    <col min="5381" max="5381" width="10.81640625" customWidth="1"/>
    <col min="5382" max="5382" width="9.54296875" bestFit="1" customWidth="1"/>
    <col min="5383" max="5383" width="9.81640625" bestFit="1" customWidth="1"/>
    <col min="5384" max="5384" width="9.81640625" customWidth="1"/>
    <col min="5385" max="5386" width="9.81640625" bestFit="1" customWidth="1"/>
    <col min="5387" max="5387" width="10.1796875" customWidth="1"/>
    <col min="5388" max="5389" width="10.81640625" customWidth="1"/>
    <col min="5631" max="5631" width="27.1796875" customWidth="1"/>
    <col min="5632" max="5632" width="10.1796875" customWidth="1"/>
    <col min="5633" max="5633" width="9.81640625" customWidth="1"/>
    <col min="5636" max="5636" width="10" customWidth="1"/>
    <col min="5637" max="5637" width="10.81640625" customWidth="1"/>
    <col min="5638" max="5638" width="9.54296875" bestFit="1" customWidth="1"/>
    <col min="5639" max="5639" width="9.81640625" bestFit="1" customWidth="1"/>
    <col min="5640" max="5640" width="9.81640625" customWidth="1"/>
    <col min="5641" max="5642" width="9.81640625" bestFit="1" customWidth="1"/>
    <col min="5643" max="5643" width="10.1796875" customWidth="1"/>
    <col min="5644" max="5645" width="10.81640625" customWidth="1"/>
    <col min="5887" max="5887" width="27.1796875" customWidth="1"/>
    <col min="5888" max="5888" width="10.1796875" customWidth="1"/>
    <col min="5889" max="5889" width="9.81640625" customWidth="1"/>
    <col min="5892" max="5892" width="10" customWidth="1"/>
    <col min="5893" max="5893" width="10.81640625" customWidth="1"/>
    <col min="5894" max="5894" width="9.54296875" bestFit="1" customWidth="1"/>
    <col min="5895" max="5895" width="9.81640625" bestFit="1" customWidth="1"/>
    <col min="5896" max="5896" width="9.81640625" customWidth="1"/>
    <col min="5897" max="5898" width="9.81640625" bestFit="1" customWidth="1"/>
    <col min="5899" max="5899" width="10.1796875" customWidth="1"/>
    <col min="5900" max="5901" width="10.81640625" customWidth="1"/>
    <col min="6143" max="6143" width="27.1796875" customWidth="1"/>
    <col min="6144" max="6144" width="10.1796875" customWidth="1"/>
    <col min="6145" max="6145" width="9.81640625" customWidth="1"/>
    <col min="6148" max="6148" width="10" customWidth="1"/>
    <col min="6149" max="6149" width="10.81640625" customWidth="1"/>
    <col min="6150" max="6150" width="9.54296875" bestFit="1" customWidth="1"/>
    <col min="6151" max="6151" width="9.81640625" bestFit="1" customWidth="1"/>
    <col min="6152" max="6152" width="9.81640625" customWidth="1"/>
    <col min="6153" max="6154" width="9.81640625" bestFit="1" customWidth="1"/>
    <col min="6155" max="6155" width="10.1796875" customWidth="1"/>
    <col min="6156" max="6157" width="10.81640625" customWidth="1"/>
    <col min="6399" max="6399" width="27.1796875" customWidth="1"/>
    <col min="6400" max="6400" width="10.1796875" customWidth="1"/>
    <col min="6401" max="6401" width="9.81640625" customWidth="1"/>
    <col min="6404" max="6404" width="10" customWidth="1"/>
    <col min="6405" max="6405" width="10.81640625" customWidth="1"/>
    <col min="6406" max="6406" width="9.54296875" bestFit="1" customWidth="1"/>
    <col min="6407" max="6407" width="9.81640625" bestFit="1" customWidth="1"/>
    <col min="6408" max="6408" width="9.81640625" customWidth="1"/>
    <col min="6409" max="6410" width="9.81640625" bestFit="1" customWidth="1"/>
    <col min="6411" max="6411" width="10.1796875" customWidth="1"/>
    <col min="6412" max="6413" width="10.81640625" customWidth="1"/>
    <col min="6655" max="6655" width="27.1796875" customWidth="1"/>
    <col min="6656" max="6656" width="10.1796875" customWidth="1"/>
    <col min="6657" max="6657" width="9.81640625" customWidth="1"/>
    <col min="6660" max="6660" width="10" customWidth="1"/>
    <col min="6661" max="6661" width="10.81640625" customWidth="1"/>
    <col min="6662" max="6662" width="9.54296875" bestFit="1" customWidth="1"/>
    <col min="6663" max="6663" width="9.81640625" bestFit="1" customWidth="1"/>
    <col min="6664" max="6664" width="9.81640625" customWidth="1"/>
    <col min="6665" max="6666" width="9.81640625" bestFit="1" customWidth="1"/>
    <col min="6667" max="6667" width="10.1796875" customWidth="1"/>
    <col min="6668" max="6669" width="10.81640625" customWidth="1"/>
    <col min="6911" max="6911" width="27.1796875" customWidth="1"/>
    <col min="6912" max="6912" width="10.1796875" customWidth="1"/>
    <col min="6913" max="6913" width="9.81640625" customWidth="1"/>
    <col min="6916" max="6916" width="10" customWidth="1"/>
    <col min="6917" max="6917" width="10.81640625" customWidth="1"/>
    <col min="6918" max="6918" width="9.54296875" bestFit="1" customWidth="1"/>
    <col min="6919" max="6919" width="9.81640625" bestFit="1" customWidth="1"/>
    <col min="6920" max="6920" width="9.81640625" customWidth="1"/>
    <col min="6921" max="6922" width="9.81640625" bestFit="1" customWidth="1"/>
    <col min="6923" max="6923" width="10.1796875" customWidth="1"/>
    <col min="6924" max="6925" width="10.81640625" customWidth="1"/>
    <col min="7167" max="7167" width="27.1796875" customWidth="1"/>
    <col min="7168" max="7168" width="10.1796875" customWidth="1"/>
    <col min="7169" max="7169" width="9.81640625" customWidth="1"/>
    <col min="7172" max="7172" width="10" customWidth="1"/>
    <col min="7173" max="7173" width="10.81640625" customWidth="1"/>
    <col min="7174" max="7174" width="9.54296875" bestFit="1" customWidth="1"/>
    <col min="7175" max="7175" width="9.81640625" bestFit="1" customWidth="1"/>
    <col min="7176" max="7176" width="9.81640625" customWidth="1"/>
    <col min="7177" max="7178" width="9.81640625" bestFit="1" customWidth="1"/>
    <col min="7179" max="7179" width="10.1796875" customWidth="1"/>
    <col min="7180" max="7181" width="10.81640625" customWidth="1"/>
    <col min="7423" max="7423" width="27.1796875" customWidth="1"/>
    <col min="7424" max="7424" width="10.1796875" customWidth="1"/>
    <col min="7425" max="7425" width="9.81640625" customWidth="1"/>
    <col min="7428" max="7428" width="10" customWidth="1"/>
    <col min="7429" max="7429" width="10.81640625" customWidth="1"/>
    <col min="7430" max="7430" width="9.54296875" bestFit="1" customWidth="1"/>
    <col min="7431" max="7431" width="9.81640625" bestFit="1" customWidth="1"/>
    <col min="7432" max="7432" width="9.81640625" customWidth="1"/>
    <col min="7433" max="7434" width="9.81640625" bestFit="1" customWidth="1"/>
    <col min="7435" max="7435" width="10.1796875" customWidth="1"/>
    <col min="7436" max="7437" width="10.81640625" customWidth="1"/>
    <col min="7679" max="7679" width="27.1796875" customWidth="1"/>
    <col min="7680" max="7680" width="10.1796875" customWidth="1"/>
    <col min="7681" max="7681" width="9.81640625" customWidth="1"/>
    <col min="7684" max="7684" width="10" customWidth="1"/>
    <col min="7685" max="7685" width="10.81640625" customWidth="1"/>
    <col min="7686" max="7686" width="9.54296875" bestFit="1" customWidth="1"/>
    <col min="7687" max="7687" width="9.81640625" bestFit="1" customWidth="1"/>
    <col min="7688" max="7688" width="9.81640625" customWidth="1"/>
    <col min="7689" max="7690" width="9.81640625" bestFit="1" customWidth="1"/>
    <col min="7691" max="7691" width="10.1796875" customWidth="1"/>
    <col min="7692" max="7693" width="10.81640625" customWidth="1"/>
    <col min="7935" max="7935" width="27.1796875" customWidth="1"/>
    <col min="7936" max="7936" width="10.1796875" customWidth="1"/>
    <col min="7937" max="7937" width="9.81640625" customWidth="1"/>
    <col min="7940" max="7940" width="10" customWidth="1"/>
    <col min="7941" max="7941" width="10.81640625" customWidth="1"/>
    <col min="7942" max="7942" width="9.54296875" bestFit="1" customWidth="1"/>
    <col min="7943" max="7943" width="9.81640625" bestFit="1" customWidth="1"/>
    <col min="7944" max="7944" width="9.81640625" customWidth="1"/>
    <col min="7945" max="7946" width="9.81640625" bestFit="1" customWidth="1"/>
    <col min="7947" max="7947" width="10.1796875" customWidth="1"/>
    <col min="7948" max="7949" width="10.81640625" customWidth="1"/>
    <col min="8191" max="8191" width="27.1796875" customWidth="1"/>
    <col min="8192" max="8192" width="10.1796875" customWidth="1"/>
    <col min="8193" max="8193" width="9.81640625" customWidth="1"/>
    <col min="8196" max="8196" width="10" customWidth="1"/>
    <col min="8197" max="8197" width="10.81640625" customWidth="1"/>
    <col min="8198" max="8198" width="9.54296875" bestFit="1" customWidth="1"/>
    <col min="8199" max="8199" width="9.81640625" bestFit="1" customWidth="1"/>
    <col min="8200" max="8200" width="9.81640625" customWidth="1"/>
    <col min="8201" max="8202" width="9.81640625" bestFit="1" customWidth="1"/>
    <col min="8203" max="8203" width="10.1796875" customWidth="1"/>
    <col min="8204" max="8205" width="10.81640625" customWidth="1"/>
    <col min="8447" max="8447" width="27.1796875" customWidth="1"/>
    <col min="8448" max="8448" width="10.1796875" customWidth="1"/>
    <col min="8449" max="8449" width="9.81640625" customWidth="1"/>
    <col min="8452" max="8452" width="10" customWidth="1"/>
    <col min="8453" max="8453" width="10.81640625" customWidth="1"/>
    <col min="8454" max="8454" width="9.54296875" bestFit="1" customWidth="1"/>
    <col min="8455" max="8455" width="9.81640625" bestFit="1" customWidth="1"/>
    <col min="8456" max="8456" width="9.81640625" customWidth="1"/>
    <col min="8457" max="8458" width="9.81640625" bestFit="1" customWidth="1"/>
    <col min="8459" max="8459" width="10.1796875" customWidth="1"/>
    <col min="8460" max="8461" width="10.81640625" customWidth="1"/>
    <col min="8703" max="8703" width="27.1796875" customWidth="1"/>
    <col min="8704" max="8704" width="10.1796875" customWidth="1"/>
    <col min="8705" max="8705" width="9.81640625" customWidth="1"/>
    <col min="8708" max="8708" width="10" customWidth="1"/>
    <col min="8709" max="8709" width="10.81640625" customWidth="1"/>
    <col min="8710" max="8710" width="9.54296875" bestFit="1" customWidth="1"/>
    <col min="8711" max="8711" width="9.81640625" bestFit="1" customWidth="1"/>
    <col min="8712" max="8712" width="9.81640625" customWidth="1"/>
    <col min="8713" max="8714" width="9.81640625" bestFit="1" customWidth="1"/>
    <col min="8715" max="8715" width="10.1796875" customWidth="1"/>
    <col min="8716" max="8717" width="10.81640625" customWidth="1"/>
    <col min="8959" max="8959" width="27.1796875" customWidth="1"/>
    <col min="8960" max="8960" width="10.1796875" customWidth="1"/>
    <col min="8961" max="8961" width="9.81640625" customWidth="1"/>
    <col min="8964" max="8964" width="10" customWidth="1"/>
    <col min="8965" max="8965" width="10.81640625" customWidth="1"/>
    <col min="8966" max="8966" width="9.54296875" bestFit="1" customWidth="1"/>
    <col min="8967" max="8967" width="9.81640625" bestFit="1" customWidth="1"/>
    <col min="8968" max="8968" width="9.81640625" customWidth="1"/>
    <col min="8969" max="8970" width="9.81640625" bestFit="1" customWidth="1"/>
    <col min="8971" max="8971" width="10.1796875" customWidth="1"/>
    <col min="8972" max="8973" width="10.81640625" customWidth="1"/>
    <col min="9215" max="9215" width="27.1796875" customWidth="1"/>
    <col min="9216" max="9216" width="10.1796875" customWidth="1"/>
    <col min="9217" max="9217" width="9.81640625" customWidth="1"/>
    <col min="9220" max="9220" width="10" customWidth="1"/>
    <col min="9221" max="9221" width="10.81640625" customWidth="1"/>
    <col min="9222" max="9222" width="9.54296875" bestFit="1" customWidth="1"/>
    <col min="9223" max="9223" width="9.81640625" bestFit="1" customWidth="1"/>
    <col min="9224" max="9224" width="9.81640625" customWidth="1"/>
    <col min="9225" max="9226" width="9.81640625" bestFit="1" customWidth="1"/>
    <col min="9227" max="9227" width="10.1796875" customWidth="1"/>
    <col min="9228" max="9229" width="10.81640625" customWidth="1"/>
    <col min="9471" max="9471" width="27.1796875" customWidth="1"/>
    <col min="9472" max="9472" width="10.1796875" customWidth="1"/>
    <col min="9473" max="9473" width="9.81640625" customWidth="1"/>
    <col min="9476" max="9476" width="10" customWidth="1"/>
    <col min="9477" max="9477" width="10.81640625" customWidth="1"/>
    <col min="9478" max="9478" width="9.54296875" bestFit="1" customWidth="1"/>
    <col min="9479" max="9479" width="9.81640625" bestFit="1" customWidth="1"/>
    <col min="9480" max="9480" width="9.81640625" customWidth="1"/>
    <col min="9481" max="9482" width="9.81640625" bestFit="1" customWidth="1"/>
    <col min="9483" max="9483" width="10.1796875" customWidth="1"/>
    <col min="9484" max="9485" width="10.81640625" customWidth="1"/>
    <col min="9727" max="9727" width="27.1796875" customWidth="1"/>
    <col min="9728" max="9728" width="10.1796875" customWidth="1"/>
    <col min="9729" max="9729" width="9.81640625" customWidth="1"/>
    <col min="9732" max="9732" width="10" customWidth="1"/>
    <col min="9733" max="9733" width="10.81640625" customWidth="1"/>
    <col min="9734" max="9734" width="9.54296875" bestFit="1" customWidth="1"/>
    <col min="9735" max="9735" width="9.81640625" bestFit="1" customWidth="1"/>
    <col min="9736" max="9736" width="9.81640625" customWidth="1"/>
    <col min="9737" max="9738" width="9.81640625" bestFit="1" customWidth="1"/>
    <col min="9739" max="9739" width="10.1796875" customWidth="1"/>
    <col min="9740" max="9741" width="10.81640625" customWidth="1"/>
    <col min="9983" max="9983" width="27.1796875" customWidth="1"/>
    <col min="9984" max="9984" width="10.1796875" customWidth="1"/>
    <col min="9985" max="9985" width="9.81640625" customWidth="1"/>
    <col min="9988" max="9988" width="10" customWidth="1"/>
    <col min="9989" max="9989" width="10.81640625" customWidth="1"/>
    <col min="9990" max="9990" width="9.54296875" bestFit="1" customWidth="1"/>
    <col min="9991" max="9991" width="9.81640625" bestFit="1" customWidth="1"/>
    <col min="9992" max="9992" width="9.81640625" customWidth="1"/>
    <col min="9993" max="9994" width="9.81640625" bestFit="1" customWidth="1"/>
    <col min="9995" max="9995" width="10.1796875" customWidth="1"/>
    <col min="9996" max="9997" width="10.81640625" customWidth="1"/>
    <col min="10239" max="10239" width="27.1796875" customWidth="1"/>
    <col min="10240" max="10240" width="10.1796875" customWidth="1"/>
    <col min="10241" max="10241" width="9.81640625" customWidth="1"/>
    <col min="10244" max="10244" width="10" customWidth="1"/>
    <col min="10245" max="10245" width="10.81640625" customWidth="1"/>
    <col min="10246" max="10246" width="9.54296875" bestFit="1" customWidth="1"/>
    <col min="10247" max="10247" width="9.81640625" bestFit="1" customWidth="1"/>
    <col min="10248" max="10248" width="9.81640625" customWidth="1"/>
    <col min="10249" max="10250" width="9.81640625" bestFit="1" customWidth="1"/>
    <col min="10251" max="10251" width="10.1796875" customWidth="1"/>
    <col min="10252" max="10253" width="10.81640625" customWidth="1"/>
    <col min="10495" max="10495" width="27.1796875" customWidth="1"/>
    <col min="10496" max="10496" width="10.1796875" customWidth="1"/>
    <col min="10497" max="10497" width="9.81640625" customWidth="1"/>
    <col min="10500" max="10500" width="10" customWidth="1"/>
    <col min="10501" max="10501" width="10.81640625" customWidth="1"/>
    <col min="10502" max="10502" width="9.54296875" bestFit="1" customWidth="1"/>
    <col min="10503" max="10503" width="9.81640625" bestFit="1" customWidth="1"/>
    <col min="10504" max="10504" width="9.81640625" customWidth="1"/>
    <col min="10505" max="10506" width="9.81640625" bestFit="1" customWidth="1"/>
    <col min="10507" max="10507" width="10.1796875" customWidth="1"/>
    <col min="10508" max="10509" width="10.81640625" customWidth="1"/>
    <col min="10751" max="10751" width="27.1796875" customWidth="1"/>
    <col min="10752" max="10752" width="10.1796875" customWidth="1"/>
    <col min="10753" max="10753" width="9.81640625" customWidth="1"/>
    <col min="10756" max="10756" width="10" customWidth="1"/>
    <col min="10757" max="10757" width="10.81640625" customWidth="1"/>
    <col min="10758" max="10758" width="9.54296875" bestFit="1" customWidth="1"/>
    <col min="10759" max="10759" width="9.81640625" bestFit="1" customWidth="1"/>
    <col min="10760" max="10760" width="9.81640625" customWidth="1"/>
    <col min="10761" max="10762" width="9.81640625" bestFit="1" customWidth="1"/>
    <col min="10763" max="10763" width="10.1796875" customWidth="1"/>
    <col min="10764" max="10765" width="10.81640625" customWidth="1"/>
    <col min="11007" max="11007" width="27.1796875" customWidth="1"/>
    <col min="11008" max="11008" width="10.1796875" customWidth="1"/>
    <col min="11009" max="11009" width="9.81640625" customWidth="1"/>
    <col min="11012" max="11012" width="10" customWidth="1"/>
    <col min="11013" max="11013" width="10.81640625" customWidth="1"/>
    <col min="11014" max="11014" width="9.54296875" bestFit="1" customWidth="1"/>
    <col min="11015" max="11015" width="9.81640625" bestFit="1" customWidth="1"/>
    <col min="11016" max="11016" width="9.81640625" customWidth="1"/>
    <col min="11017" max="11018" width="9.81640625" bestFit="1" customWidth="1"/>
    <col min="11019" max="11019" width="10.1796875" customWidth="1"/>
    <col min="11020" max="11021" width="10.81640625" customWidth="1"/>
    <col min="11263" max="11263" width="27.1796875" customWidth="1"/>
    <col min="11264" max="11264" width="10.1796875" customWidth="1"/>
    <col min="11265" max="11265" width="9.81640625" customWidth="1"/>
    <col min="11268" max="11268" width="10" customWidth="1"/>
    <col min="11269" max="11269" width="10.81640625" customWidth="1"/>
    <col min="11270" max="11270" width="9.54296875" bestFit="1" customWidth="1"/>
    <col min="11271" max="11271" width="9.81640625" bestFit="1" customWidth="1"/>
    <col min="11272" max="11272" width="9.81640625" customWidth="1"/>
    <col min="11273" max="11274" width="9.81640625" bestFit="1" customWidth="1"/>
    <col min="11275" max="11275" width="10.1796875" customWidth="1"/>
    <col min="11276" max="11277" width="10.81640625" customWidth="1"/>
    <col min="11519" max="11519" width="27.1796875" customWidth="1"/>
    <col min="11520" max="11520" width="10.1796875" customWidth="1"/>
    <col min="11521" max="11521" width="9.81640625" customWidth="1"/>
    <col min="11524" max="11524" width="10" customWidth="1"/>
    <col min="11525" max="11525" width="10.81640625" customWidth="1"/>
    <col min="11526" max="11526" width="9.54296875" bestFit="1" customWidth="1"/>
    <col min="11527" max="11527" width="9.81640625" bestFit="1" customWidth="1"/>
    <col min="11528" max="11528" width="9.81640625" customWidth="1"/>
    <col min="11529" max="11530" width="9.81640625" bestFit="1" customWidth="1"/>
    <col min="11531" max="11531" width="10.1796875" customWidth="1"/>
    <col min="11532" max="11533" width="10.81640625" customWidth="1"/>
    <col min="11775" max="11775" width="27.1796875" customWidth="1"/>
    <col min="11776" max="11776" width="10.1796875" customWidth="1"/>
    <col min="11777" max="11777" width="9.81640625" customWidth="1"/>
    <col min="11780" max="11780" width="10" customWidth="1"/>
    <col min="11781" max="11781" width="10.81640625" customWidth="1"/>
    <col min="11782" max="11782" width="9.54296875" bestFit="1" customWidth="1"/>
    <col min="11783" max="11783" width="9.81640625" bestFit="1" customWidth="1"/>
    <col min="11784" max="11784" width="9.81640625" customWidth="1"/>
    <col min="11785" max="11786" width="9.81640625" bestFit="1" customWidth="1"/>
    <col min="11787" max="11787" width="10.1796875" customWidth="1"/>
    <col min="11788" max="11789" width="10.81640625" customWidth="1"/>
    <col min="12031" max="12031" width="27.1796875" customWidth="1"/>
    <col min="12032" max="12032" width="10.1796875" customWidth="1"/>
    <col min="12033" max="12033" width="9.81640625" customWidth="1"/>
    <col min="12036" max="12036" width="10" customWidth="1"/>
    <col min="12037" max="12037" width="10.81640625" customWidth="1"/>
    <col min="12038" max="12038" width="9.54296875" bestFit="1" customWidth="1"/>
    <col min="12039" max="12039" width="9.81640625" bestFit="1" customWidth="1"/>
    <col min="12040" max="12040" width="9.81640625" customWidth="1"/>
    <col min="12041" max="12042" width="9.81640625" bestFit="1" customWidth="1"/>
    <col min="12043" max="12043" width="10.1796875" customWidth="1"/>
    <col min="12044" max="12045" width="10.81640625" customWidth="1"/>
    <col min="12287" max="12287" width="27.1796875" customWidth="1"/>
    <col min="12288" max="12288" width="10.1796875" customWidth="1"/>
    <col min="12289" max="12289" width="9.81640625" customWidth="1"/>
    <col min="12292" max="12292" width="10" customWidth="1"/>
    <col min="12293" max="12293" width="10.81640625" customWidth="1"/>
    <col min="12294" max="12294" width="9.54296875" bestFit="1" customWidth="1"/>
    <col min="12295" max="12295" width="9.81640625" bestFit="1" customWidth="1"/>
    <col min="12296" max="12296" width="9.81640625" customWidth="1"/>
    <col min="12297" max="12298" width="9.81640625" bestFit="1" customWidth="1"/>
    <col min="12299" max="12299" width="10.1796875" customWidth="1"/>
    <col min="12300" max="12301" width="10.81640625" customWidth="1"/>
    <col min="12543" max="12543" width="27.1796875" customWidth="1"/>
    <col min="12544" max="12544" width="10.1796875" customWidth="1"/>
    <col min="12545" max="12545" width="9.81640625" customWidth="1"/>
    <col min="12548" max="12548" width="10" customWidth="1"/>
    <col min="12549" max="12549" width="10.81640625" customWidth="1"/>
    <col min="12550" max="12550" width="9.54296875" bestFit="1" customWidth="1"/>
    <col min="12551" max="12551" width="9.81640625" bestFit="1" customWidth="1"/>
    <col min="12552" max="12552" width="9.81640625" customWidth="1"/>
    <col min="12553" max="12554" width="9.81640625" bestFit="1" customWidth="1"/>
    <col min="12555" max="12555" width="10.1796875" customWidth="1"/>
    <col min="12556" max="12557" width="10.81640625" customWidth="1"/>
    <col min="12799" max="12799" width="27.1796875" customWidth="1"/>
    <col min="12800" max="12800" width="10.1796875" customWidth="1"/>
    <col min="12801" max="12801" width="9.81640625" customWidth="1"/>
    <col min="12804" max="12804" width="10" customWidth="1"/>
    <col min="12805" max="12805" width="10.81640625" customWidth="1"/>
    <col min="12806" max="12806" width="9.54296875" bestFit="1" customWidth="1"/>
    <col min="12807" max="12807" width="9.81640625" bestFit="1" customWidth="1"/>
    <col min="12808" max="12808" width="9.81640625" customWidth="1"/>
    <col min="12809" max="12810" width="9.81640625" bestFit="1" customWidth="1"/>
    <col min="12811" max="12811" width="10.1796875" customWidth="1"/>
    <col min="12812" max="12813" width="10.81640625" customWidth="1"/>
    <col min="13055" max="13055" width="27.1796875" customWidth="1"/>
    <col min="13056" max="13056" width="10.1796875" customWidth="1"/>
    <col min="13057" max="13057" width="9.81640625" customWidth="1"/>
    <col min="13060" max="13060" width="10" customWidth="1"/>
    <col min="13061" max="13061" width="10.81640625" customWidth="1"/>
    <col min="13062" max="13062" width="9.54296875" bestFit="1" customWidth="1"/>
    <col min="13063" max="13063" width="9.81640625" bestFit="1" customWidth="1"/>
    <col min="13064" max="13064" width="9.81640625" customWidth="1"/>
    <col min="13065" max="13066" width="9.81640625" bestFit="1" customWidth="1"/>
    <col min="13067" max="13067" width="10.1796875" customWidth="1"/>
    <col min="13068" max="13069" width="10.81640625" customWidth="1"/>
    <col min="13311" max="13311" width="27.1796875" customWidth="1"/>
    <col min="13312" max="13312" width="10.1796875" customWidth="1"/>
    <col min="13313" max="13313" width="9.81640625" customWidth="1"/>
    <col min="13316" max="13316" width="10" customWidth="1"/>
    <col min="13317" max="13317" width="10.81640625" customWidth="1"/>
    <col min="13318" max="13318" width="9.54296875" bestFit="1" customWidth="1"/>
    <col min="13319" max="13319" width="9.81640625" bestFit="1" customWidth="1"/>
    <col min="13320" max="13320" width="9.81640625" customWidth="1"/>
    <col min="13321" max="13322" width="9.81640625" bestFit="1" customWidth="1"/>
    <col min="13323" max="13323" width="10.1796875" customWidth="1"/>
    <col min="13324" max="13325" width="10.81640625" customWidth="1"/>
    <col min="13567" max="13567" width="27.1796875" customWidth="1"/>
    <col min="13568" max="13568" width="10.1796875" customWidth="1"/>
    <col min="13569" max="13569" width="9.81640625" customWidth="1"/>
    <col min="13572" max="13572" width="10" customWidth="1"/>
    <col min="13573" max="13573" width="10.81640625" customWidth="1"/>
    <col min="13574" max="13574" width="9.54296875" bestFit="1" customWidth="1"/>
    <col min="13575" max="13575" width="9.81640625" bestFit="1" customWidth="1"/>
    <col min="13576" max="13576" width="9.81640625" customWidth="1"/>
    <col min="13577" max="13578" width="9.81640625" bestFit="1" customWidth="1"/>
    <col min="13579" max="13579" width="10.1796875" customWidth="1"/>
    <col min="13580" max="13581" width="10.81640625" customWidth="1"/>
    <col min="13823" max="13823" width="27.1796875" customWidth="1"/>
    <col min="13824" max="13824" width="10.1796875" customWidth="1"/>
    <col min="13825" max="13825" width="9.81640625" customWidth="1"/>
    <col min="13828" max="13828" width="10" customWidth="1"/>
    <col min="13829" max="13829" width="10.81640625" customWidth="1"/>
    <col min="13830" max="13830" width="9.54296875" bestFit="1" customWidth="1"/>
    <col min="13831" max="13831" width="9.81640625" bestFit="1" customWidth="1"/>
    <col min="13832" max="13832" width="9.81640625" customWidth="1"/>
    <col min="13833" max="13834" width="9.81640625" bestFit="1" customWidth="1"/>
    <col min="13835" max="13835" width="10.1796875" customWidth="1"/>
    <col min="13836" max="13837" width="10.81640625" customWidth="1"/>
    <col min="14079" max="14079" width="27.1796875" customWidth="1"/>
    <col min="14080" max="14080" width="10.1796875" customWidth="1"/>
    <col min="14081" max="14081" width="9.81640625" customWidth="1"/>
    <col min="14084" max="14084" width="10" customWidth="1"/>
    <col min="14085" max="14085" width="10.81640625" customWidth="1"/>
    <col min="14086" max="14086" width="9.54296875" bestFit="1" customWidth="1"/>
    <col min="14087" max="14087" width="9.81640625" bestFit="1" customWidth="1"/>
    <col min="14088" max="14088" width="9.81640625" customWidth="1"/>
    <col min="14089" max="14090" width="9.81640625" bestFit="1" customWidth="1"/>
    <col min="14091" max="14091" width="10.1796875" customWidth="1"/>
    <col min="14092" max="14093" width="10.81640625" customWidth="1"/>
    <col min="14335" max="14335" width="27.1796875" customWidth="1"/>
    <col min="14336" max="14336" width="10.1796875" customWidth="1"/>
    <col min="14337" max="14337" width="9.81640625" customWidth="1"/>
    <col min="14340" max="14340" width="10" customWidth="1"/>
    <col min="14341" max="14341" width="10.81640625" customWidth="1"/>
    <col min="14342" max="14342" width="9.54296875" bestFit="1" customWidth="1"/>
    <col min="14343" max="14343" width="9.81640625" bestFit="1" customWidth="1"/>
    <col min="14344" max="14344" width="9.81640625" customWidth="1"/>
    <col min="14345" max="14346" width="9.81640625" bestFit="1" customWidth="1"/>
    <col min="14347" max="14347" width="10.1796875" customWidth="1"/>
    <col min="14348" max="14349" width="10.81640625" customWidth="1"/>
    <col min="14591" max="14591" width="27.1796875" customWidth="1"/>
    <col min="14592" max="14592" width="10.1796875" customWidth="1"/>
    <col min="14593" max="14593" width="9.81640625" customWidth="1"/>
    <col min="14596" max="14596" width="10" customWidth="1"/>
    <col min="14597" max="14597" width="10.81640625" customWidth="1"/>
    <col min="14598" max="14598" width="9.54296875" bestFit="1" customWidth="1"/>
    <col min="14599" max="14599" width="9.81640625" bestFit="1" customWidth="1"/>
    <col min="14600" max="14600" width="9.81640625" customWidth="1"/>
    <col min="14601" max="14602" width="9.81640625" bestFit="1" customWidth="1"/>
    <col min="14603" max="14603" width="10.1796875" customWidth="1"/>
    <col min="14604" max="14605" width="10.81640625" customWidth="1"/>
    <col min="14847" max="14847" width="27.1796875" customWidth="1"/>
    <col min="14848" max="14848" width="10.1796875" customWidth="1"/>
    <col min="14849" max="14849" width="9.81640625" customWidth="1"/>
    <col min="14852" max="14852" width="10" customWidth="1"/>
    <col min="14853" max="14853" width="10.81640625" customWidth="1"/>
    <col min="14854" max="14854" width="9.54296875" bestFit="1" customWidth="1"/>
    <col min="14855" max="14855" width="9.81640625" bestFit="1" customWidth="1"/>
    <col min="14856" max="14856" width="9.81640625" customWidth="1"/>
    <col min="14857" max="14858" width="9.81640625" bestFit="1" customWidth="1"/>
    <col min="14859" max="14859" width="10.1796875" customWidth="1"/>
    <col min="14860" max="14861" width="10.81640625" customWidth="1"/>
    <col min="15103" max="15103" width="27.1796875" customWidth="1"/>
    <col min="15104" max="15104" width="10.1796875" customWidth="1"/>
    <col min="15105" max="15105" width="9.81640625" customWidth="1"/>
    <col min="15108" max="15108" width="10" customWidth="1"/>
    <col min="15109" max="15109" width="10.81640625" customWidth="1"/>
    <col min="15110" max="15110" width="9.54296875" bestFit="1" customWidth="1"/>
    <col min="15111" max="15111" width="9.81640625" bestFit="1" customWidth="1"/>
    <col min="15112" max="15112" width="9.81640625" customWidth="1"/>
    <col min="15113" max="15114" width="9.81640625" bestFit="1" customWidth="1"/>
    <col min="15115" max="15115" width="10.1796875" customWidth="1"/>
    <col min="15116" max="15117" width="10.81640625" customWidth="1"/>
    <col min="15359" max="15359" width="27.1796875" customWidth="1"/>
    <col min="15360" max="15360" width="10.1796875" customWidth="1"/>
    <col min="15361" max="15361" width="9.81640625" customWidth="1"/>
    <col min="15364" max="15364" width="10" customWidth="1"/>
    <col min="15365" max="15365" width="10.81640625" customWidth="1"/>
    <col min="15366" max="15366" width="9.54296875" bestFit="1" customWidth="1"/>
    <col min="15367" max="15367" width="9.81640625" bestFit="1" customWidth="1"/>
    <col min="15368" max="15368" width="9.81640625" customWidth="1"/>
    <col min="15369" max="15370" width="9.81640625" bestFit="1" customWidth="1"/>
    <col min="15371" max="15371" width="10.1796875" customWidth="1"/>
    <col min="15372" max="15373" width="10.81640625" customWidth="1"/>
    <col min="15615" max="15615" width="27.1796875" customWidth="1"/>
    <col min="15616" max="15616" width="10.1796875" customWidth="1"/>
    <col min="15617" max="15617" width="9.81640625" customWidth="1"/>
    <col min="15620" max="15620" width="10" customWidth="1"/>
    <col min="15621" max="15621" width="10.81640625" customWidth="1"/>
    <col min="15622" max="15622" width="9.54296875" bestFit="1" customWidth="1"/>
    <col min="15623" max="15623" width="9.81640625" bestFit="1" customWidth="1"/>
    <col min="15624" max="15624" width="9.81640625" customWidth="1"/>
    <col min="15625" max="15626" width="9.81640625" bestFit="1" customWidth="1"/>
    <col min="15627" max="15627" width="10.1796875" customWidth="1"/>
    <col min="15628" max="15629" width="10.81640625" customWidth="1"/>
    <col min="15871" max="15871" width="27.1796875" customWidth="1"/>
    <col min="15872" max="15872" width="10.1796875" customWidth="1"/>
    <col min="15873" max="15873" width="9.81640625" customWidth="1"/>
    <col min="15876" max="15876" width="10" customWidth="1"/>
    <col min="15877" max="15877" width="10.81640625" customWidth="1"/>
    <col min="15878" max="15878" width="9.54296875" bestFit="1" customWidth="1"/>
    <col min="15879" max="15879" width="9.81640625" bestFit="1" customWidth="1"/>
    <col min="15880" max="15880" width="9.81640625" customWidth="1"/>
    <col min="15881" max="15882" width="9.81640625" bestFit="1" customWidth="1"/>
    <col min="15883" max="15883" width="10.1796875" customWidth="1"/>
    <col min="15884" max="15885" width="10.81640625" customWidth="1"/>
    <col min="16127" max="16127" width="27.1796875" customWidth="1"/>
    <col min="16128" max="16128" width="10.1796875" customWidth="1"/>
    <col min="16129" max="16129" width="9.81640625" customWidth="1"/>
    <col min="16132" max="16132" width="10" customWidth="1"/>
    <col min="16133" max="16133" width="10.81640625" customWidth="1"/>
    <col min="16134" max="16134" width="9.54296875" bestFit="1" customWidth="1"/>
    <col min="16135" max="16135" width="9.81640625" bestFit="1" customWidth="1"/>
    <col min="16136" max="16136" width="9.81640625" customWidth="1"/>
    <col min="16137" max="16138" width="9.81640625" bestFit="1" customWidth="1"/>
    <col min="16139" max="16139" width="10.1796875" customWidth="1"/>
    <col min="16140" max="16141" width="10.81640625" customWidth="1"/>
  </cols>
  <sheetData>
    <row r="1" spans="1:19" ht="13" x14ac:dyDescent="0.3">
      <c r="M1" s="3"/>
      <c r="N1" s="8" t="s">
        <v>714</v>
      </c>
    </row>
    <row r="2" spans="1:19" ht="13" x14ac:dyDescent="0.3">
      <c r="A2" s="3" t="s">
        <v>948</v>
      </c>
      <c r="B2" s="30"/>
      <c r="C2" s="30" t="s">
        <v>328</v>
      </c>
      <c r="D2" s="30"/>
      <c r="E2" s="30"/>
      <c r="F2" s="30"/>
      <c r="G2" s="30"/>
      <c r="H2" s="30"/>
      <c r="I2" s="30"/>
      <c r="J2" s="30"/>
      <c r="K2" s="30"/>
      <c r="L2" s="3" t="s">
        <v>473</v>
      </c>
      <c r="M2" s="30"/>
      <c r="N2" s="30"/>
    </row>
    <row r="3" spans="1:19" ht="13" x14ac:dyDescent="0.3">
      <c r="A3" s="3"/>
      <c r="B3" s="30" t="s">
        <v>104</v>
      </c>
      <c r="C3" s="30" t="s">
        <v>105</v>
      </c>
      <c r="D3" s="30" t="s">
        <v>106</v>
      </c>
      <c r="E3" s="30" t="s">
        <v>107</v>
      </c>
      <c r="F3" s="30" t="s">
        <v>108</v>
      </c>
      <c r="G3" s="30" t="s">
        <v>109</v>
      </c>
      <c r="H3" s="30" t="s">
        <v>110</v>
      </c>
      <c r="I3" s="30" t="s">
        <v>111</v>
      </c>
      <c r="J3" s="30" t="s">
        <v>112</v>
      </c>
      <c r="K3" s="30" t="s">
        <v>113</v>
      </c>
      <c r="L3" s="30" t="s">
        <v>114</v>
      </c>
      <c r="M3" s="30" t="s">
        <v>115</v>
      </c>
      <c r="N3" s="30" t="s">
        <v>49</v>
      </c>
    </row>
    <row r="4" spans="1:19" ht="13.5" thickBot="1" x14ac:dyDescent="0.35">
      <c r="A4" s="87" t="s">
        <v>62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31"/>
    </row>
    <row r="5" spans="1:19" ht="20.149999999999999" customHeight="1" x14ac:dyDescent="0.3">
      <c r="A5" s="168" t="s">
        <v>116</v>
      </c>
      <c r="B5" s="133">
        <f>$Q$5/12</f>
        <v>162518099.41666666</v>
      </c>
      <c r="C5" s="133">
        <f t="shared" ref="C5:M5" si="0">$Q$5/12</f>
        <v>162518099.41666666</v>
      </c>
      <c r="D5" s="133">
        <f t="shared" si="0"/>
        <v>162518099.41666666</v>
      </c>
      <c r="E5" s="133">
        <f t="shared" si="0"/>
        <v>162518099.41666666</v>
      </c>
      <c r="F5" s="133">
        <f t="shared" si="0"/>
        <v>162518099.41666666</v>
      </c>
      <c r="G5" s="133">
        <f t="shared" si="0"/>
        <v>162518099.41666666</v>
      </c>
      <c r="H5" s="133">
        <f t="shared" si="0"/>
        <v>162518099.41666666</v>
      </c>
      <c r="I5" s="133">
        <f t="shared" si="0"/>
        <v>162518099.41666666</v>
      </c>
      <c r="J5" s="133">
        <f t="shared" si="0"/>
        <v>162518099.41666666</v>
      </c>
      <c r="K5" s="133">
        <f t="shared" si="0"/>
        <v>162518099.41666666</v>
      </c>
      <c r="L5" s="133">
        <f t="shared" si="0"/>
        <v>162518099.41666666</v>
      </c>
      <c r="M5" s="133">
        <f t="shared" si="0"/>
        <v>162518099.41666666</v>
      </c>
      <c r="N5" s="134">
        <f>SUM(B5:M5)</f>
        <v>1950217193.0000002</v>
      </c>
      <c r="O5" s="391">
        <f>Mérleg!C6</f>
        <v>1950217193</v>
      </c>
      <c r="P5" s="4"/>
      <c r="Q5" s="391">
        <f>'Működési bevételek'!E71+'Működési bevételek'!E87+'Működési bevételek'!E97+'Működési bevételek'!E38</f>
        <v>1950217193</v>
      </c>
      <c r="R5" s="391">
        <f>Q5-N5</f>
        <v>0</v>
      </c>
      <c r="S5" s="391">
        <f>R5/8</f>
        <v>0</v>
      </c>
    </row>
    <row r="6" spans="1:19" ht="20.149999999999999" customHeight="1" x14ac:dyDescent="0.3">
      <c r="A6" s="169" t="s">
        <v>117</v>
      </c>
      <c r="B6" s="132">
        <v>16970217</v>
      </c>
      <c r="C6" s="132">
        <f>16970217+26155000</f>
        <v>43125217</v>
      </c>
      <c r="D6" s="132">
        <f>10991924+16970217+26155000</f>
        <v>54117141</v>
      </c>
      <c r="E6" s="132">
        <f t="shared" ref="E6:L6" si="1">16970217+26155000</f>
        <v>43125217</v>
      </c>
      <c r="F6" s="132">
        <f t="shared" si="1"/>
        <v>43125217</v>
      </c>
      <c r="G6" s="132">
        <f>17000000+26155000</f>
        <v>43155000</v>
      </c>
      <c r="H6" s="132">
        <f t="shared" si="1"/>
        <v>43125217</v>
      </c>
      <c r="I6" s="132">
        <f t="shared" si="1"/>
        <v>43125217</v>
      </c>
      <c r="J6" s="132">
        <f t="shared" si="1"/>
        <v>43125217</v>
      </c>
      <c r="K6" s="132">
        <f>15000000+16970217+26155000</f>
        <v>58125217</v>
      </c>
      <c r="L6" s="132">
        <f t="shared" si="1"/>
        <v>43125217</v>
      </c>
      <c r="M6" s="132">
        <f>10000000+16970217-4-23317804+26160908</f>
        <v>29813317</v>
      </c>
      <c r="N6" s="135">
        <f t="shared" ref="N6:N16" si="2">SUM(B6:M6)</f>
        <v>504057411</v>
      </c>
      <c r="O6" s="391">
        <f>Mérleg!C7</f>
        <v>504057411</v>
      </c>
      <c r="P6" s="4"/>
      <c r="Q6" s="391">
        <f>Mérleg!C7</f>
        <v>504057411</v>
      </c>
      <c r="R6" s="391">
        <f t="shared" ref="R6:R33" si="3">Q6-N6</f>
        <v>0</v>
      </c>
      <c r="S6" s="391">
        <f>R6/11</f>
        <v>0</v>
      </c>
    </row>
    <row r="7" spans="1:19" ht="20.149999999999999" customHeight="1" x14ac:dyDescent="0.3">
      <c r="A7" s="169" t="s">
        <v>118</v>
      </c>
      <c r="B7" s="132">
        <v>0</v>
      </c>
      <c r="C7" s="132">
        <v>8088100</v>
      </c>
      <c r="D7" s="132">
        <v>0</v>
      </c>
      <c r="E7" s="132">
        <v>0</v>
      </c>
      <c r="F7" s="132">
        <v>0</v>
      </c>
      <c r="G7" s="132">
        <v>0</v>
      </c>
      <c r="H7" s="132">
        <v>0</v>
      </c>
      <c r="I7" s="132">
        <v>0</v>
      </c>
      <c r="J7" s="132">
        <v>0</v>
      </c>
      <c r="K7" s="132">
        <v>0</v>
      </c>
      <c r="L7" s="132">
        <v>0</v>
      </c>
      <c r="M7" s="132">
        <v>0</v>
      </c>
      <c r="N7" s="135">
        <f t="shared" si="2"/>
        <v>8088100</v>
      </c>
      <c r="O7" s="391">
        <f>Mérleg!C8</f>
        <v>8088100</v>
      </c>
      <c r="P7" s="167"/>
      <c r="Q7" s="391">
        <f>Mérleg!C8</f>
        <v>8088100</v>
      </c>
      <c r="R7" s="391">
        <f t="shared" si="3"/>
        <v>0</v>
      </c>
    </row>
    <row r="8" spans="1:19" ht="20.149999999999999" customHeight="1" x14ac:dyDescent="0.3">
      <c r="A8" s="169" t="s">
        <v>249</v>
      </c>
      <c r="B8" s="132">
        <f>$Q$8/12</f>
        <v>317733241.33333331</v>
      </c>
      <c r="C8" s="132">
        <f t="shared" ref="C8:M8" si="4">$Q$8/12</f>
        <v>317733241.33333331</v>
      </c>
      <c r="D8" s="132">
        <f t="shared" si="4"/>
        <v>317733241.33333331</v>
      </c>
      <c r="E8" s="132">
        <f>$Q$8/12</f>
        <v>317733241.33333331</v>
      </c>
      <c r="F8" s="132">
        <f t="shared" si="4"/>
        <v>317733241.33333331</v>
      </c>
      <c r="G8" s="132">
        <f t="shared" si="4"/>
        <v>317733241.33333331</v>
      </c>
      <c r="H8" s="132">
        <f t="shared" si="4"/>
        <v>317733241.33333331</v>
      </c>
      <c r="I8" s="132">
        <f t="shared" si="4"/>
        <v>317733241.33333331</v>
      </c>
      <c r="J8" s="132">
        <f t="shared" si="4"/>
        <v>317733241.33333331</v>
      </c>
      <c r="K8" s="132">
        <f t="shared" si="4"/>
        <v>317733241.33333331</v>
      </c>
      <c r="L8" s="132">
        <f t="shared" si="4"/>
        <v>317733241.33333331</v>
      </c>
      <c r="M8" s="132">
        <f t="shared" si="4"/>
        <v>317733241.33333331</v>
      </c>
      <c r="N8" s="135">
        <f t="shared" si="2"/>
        <v>3812798896.0000005</v>
      </c>
      <c r="O8" s="391">
        <f>Mérleg!C9</f>
        <v>3812798896</v>
      </c>
      <c r="P8" s="4"/>
      <c r="Q8" s="391">
        <f>Mérleg!C9</f>
        <v>3812798896</v>
      </c>
      <c r="R8" s="391">
        <f t="shared" si="3"/>
        <v>0</v>
      </c>
      <c r="S8" s="391"/>
    </row>
    <row r="9" spans="1:19" ht="20.149999999999999" customHeight="1" x14ac:dyDescent="0.3">
      <c r="A9" s="169" t="s">
        <v>241</v>
      </c>
      <c r="B9" s="132">
        <v>500000</v>
      </c>
      <c r="C9" s="132">
        <v>500000</v>
      </c>
      <c r="D9" s="132">
        <f>2500000+1253500</f>
        <v>3753500</v>
      </c>
      <c r="E9" s="132">
        <f t="shared" ref="E9:F9" si="5">2500000+1253500</f>
        <v>3753500</v>
      </c>
      <c r="F9" s="132">
        <f t="shared" si="5"/>
        <v>3753500</v>
      </c>
      <c r="G9" s="132">
        <f>5000000+1253500</f>
        <v>6253500</v>
      </c>
      <c r="H9" s="132">
        <f>5000000+1253500</f>
        <v>6253500</v>
      </c>
      <c r="I9" s="132">
        <f>5000000+1253500</f>
        <v>6253500</v>
      </c>
      <c r="J9" s="132">
        <f>4000000+1253500</f>
        <v>5253500</v>
      </c>
      <c r="K9" s="132">
        <f>4000000+1253500</f>
        <v>5253500</v>
      </c>
      <c r="L9" s="132">
        <f>4000000+1253500</f>
        <v>5253500</v>
      </c>
      <c r="M9" s="132">
        <f>2500000+880844+3760500</f>
        <v>7141344</v>
      </c>
      <c r="N9" s="135">
        <f t="shared" si="2"/>
        <v>53922844</v>
      </c>
      <c r="O9" s="391">
        <f>Mérleg!C11</f>
        <v>53922844</v>
      </c>
      <c r="P9" s="4"/>
      <c r="Q9" s="391">
        <f>Mérleg!C11</f>
        <v>53922844</v>
      </c>
      <c r="R9" s="391">
        <f t="shared" si="3"/>
        <v>0</v>
      </c>
      <c r="S9" s="391">
        <f>R9/12</f>
        <v>0</v>
      </c>
    </row>
    <row r="10" spans="1:19" ht="31.25" customHeight="1" x14ac:dyDescent="0.3">
      <c r="A10" s="364" t="s">
        <v>252</v>
      </c>
      <c r="B10" s="132">
        <f>2500000/12</f>
        <v>208333.33333333334</v>
      </c>
      <c r="C10" s="132">
        <f>2500000/12+5760000</f>
        <v>5968333.333333333</v>
      </c>
      <c r="D10" s="132">
        <f>2500000/12+5760000</f>
        <v>5968333.333333333</v>
      </c>
      <c r="E10" s="132">
        <f>2500000/12+5760000</f>
        <v>5968333.333333333</v>
      </c>
      <c r="F10" s="132">
        <f>2500000/12+1778425+5760000</f>
        <v>7746758.333333333</v>
      </c>
      <c r="G10" s="132">
        <f>2500000/12+250000000+5760000</f>
        <v>255968333.33333334</v>
      </c>
      <c r="H10" s="132">
        <f>2500000/12+103250000+5765000+4375+30625</f>
        <v>109258333.33333333</v>
      </c>
      <c r="I10" s="132">
        <f>2500000/12+103250000</f>
        <v>103458333.33333333</v>
      </c>
      <c r="J10" s="132">
        <f t="shared" ref="J10:K10" si="6">2500000/12</f>
        <v>208333.33333333334</v>
      </c>
      <c r="K10" s="132">
        <f t="shared" si="6"/>
        <v>208333.33333333334</v>
      </c>
      <c r="L10" s="132">
        <f>2500000/12+130516534</f>
        <v>130724867.33333333</v>
      </c>
      <c r="M10" s="132">
        <f>2500000/12+88803550</f>
        <v>89011883.333333328</v>
      </c>
      <c r="N10" s="135">
        <f t="shared" si="2"/>
        <v>714698509</v>
      </c>
      <c r="O10" s="391">
        <f>Mérleg!C13</f>
        <v>680098509</v>
      </c>
      <c r="P10" s="4"/>
      <c r="Q10" s="391">
        <f>Mérleg!C13+Mérleg!C16</f>
        <v>714698509</v>
      </c>
      <c r="R10" s="391">
        <f>Q10-N10</f>
        <v>0</v>
      </c>
      <c r="S10" s="391">
        <f>R10/8</f>
        <v>0</v>
      </c>
    </row>
    <row r="11" spans="1:19" ht="20.149999999999999" customHeight="1" x14ac:dyDescent="0.3">
      <c r="A11" s="169" t="s">
        <v>119</v>
      </c>
      <c r="B11" s="132">
        <v>0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264095550</v>
      </c>
      <c r="I11" s="132">
        <f>1777929375-264095550-751649475+223394755</f>
        <v>985579105</v>
      </c>
      <c r="J11" s="132">
        <f>10375000+751649475-223394755</f>
        <v>538629720</v>
      </c>
      <c r="K11" s="132">
        <v>10375000</v>
      </c>
      <c r="L11" s="132">
        <v>10375000</v>
      </c>
      <c r="M11" s="132">
        <v>10375000</v>
      </c>
      <c r="N11" s="135">
        <f t="shared" si="2"/>
        <v>1819429375</v>
      </c>
      <c r="O11" s="391">
        <f>Mérleg!C14</f>
        <v>1819429375</v>
      </c>
      <c r="P11" s="4"/>
      <c r="Q11" s="391">
        <f>Mérleg!C14</f>
        <v>1819429375</v>
      </c>
      <c r="R11" s="391">
        <f t="shared" si="3"/>
        <v>0</v>
      </c>
    </row>
    <row r="12" spans="1:19" ht="20.149999999999999" customHeight="1" x14ac:dyDescent="0.3">
      <c r="A12" s="169" t="s">
        <v>120</v>
      </c>
      <c r="B12" s="132">
        <v>0</v>
      </c>
      <c r="C12" s="132">
        <v>0</v>
      </c>
      <c r="D12" s="132">
        <v>0</v>
      </c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  <c r="L12" s="132">
        <v>2340000</v>
      </c>
      <c r="M12" s="132"/>
      <c r="N12" s="135">
        <f t="shared" si="2"/>
        <v>2340000</v>
      </c>
      <c r="O12" s="391">
        <f>Mérleg!C15</f>
        <v>2340000</v>
      </c>
      <c r="P12" s="4"/>
      <c r="Q12" s="391">
        <f>Mérleg!C15</f>
        <v>2340000</v>
      </c>
      <c r="R12" s="391">
        <f t="shared" si="3"/>
        <v>0</v>
      </c>
    </row>
    <row r="13" spans="1:19" ht="20.149999999999999" customHeight="1" x14ac:dyDescent="0.3">
      <c r="A13" s="169" t="s">
        <v>121</v>
      </c>
      <c r="B13" s="132">
        <v>0</v>
      </c>
      <c r="C13" s="132">
        <v>0</v>
      </c>
      <c r="D13" s="132">
        <f>1692500000+735500000</f>
        <v>2428000000</v>
      </c>
      <c r="E13" s="132">
        <v>250000000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f>596000000+735500000+4000000</f>
        <v>1335500000</v>
      </c>
      <c r="L13" s="132">
        <v>1693000000</v>
      </c>
      <c r="M13" s="132"/>
      <c r="N13" s="135">
        <f t="shared" si="2"/>
        <v>5706500000</v>
      </c>
      <c r="O13" s="391">
        <f>Mérleg!C19+Mérleg!C20+Mérleg!C21+Mérleg!C22+Mérleg!C23+Mérleg!C24</f>
        <v>5706500000</v>
      </c>
      <c r="P13" s="4"/>
      <c r="Q13" s="391">
        <f>Mérleg!C19+Mérleg!C20+Mérleg!C21+Mérleg!C22+Mérleg!C23+Mérleg!C24</f>
        <v>5706500000</v>
      </c>
      <c r="R13" s="391">
        <f t="shared" si="3"/>
        <v>0</v>
      </c>
      <c r="S13" s="391">
        <f>R13/2</f>
        <v>0</v>
      </c>
    </row>
    <row r="14" spans="1:19" ht="20.149999999999999" customHeight="1" x14ac:dyDescent="0.3">
      <c r="A14" s="169" t="s">
        <v>491</v>
      </c>
      <c r="B14" s="132">
        <v>460110222</v>
      </c>
      <c r="C14" s="132">
        <v>15959578</v>
      </c>
      <c r="D14" s="132"/>
      <c r="E14" s="132"/>
      <c r="F14" s="132">
        <v>0</v>
      </c>
      <c r="G14" s="132"/>
      <c r="H14" s="132">
        <f>277744868-53814668+211000000-211000000</f>
        <v>223930200</v>
      </c>
      <c r="I14" s="132"/>
      <c r="J14" s="132"/>
      <c r="K14" s="132">
        <v>0</v>
      </c>
      <c r="L14" s="132">
        <v>0</v>
      </c>
      <c r="M14" s="132">
        <v>0</v>
      </c>
      <c r="N14" s="135">
        <f t="shared" si="2"/>
        <v>700000000</v>
      </c>
      <c r="O14" s="391">
        <f>Mérleg!C25</f>
        <v>700000000</v>
      </c>
      <c r="P14" s="4"/>
      <c r="Q14" s="394">
        <f>Mérleg!C25</f>
        <v>700000000</v>
      </c>
      <c r="R14" s="391">
        <f t="shared" si="3"/>
        <v>0</v>
      </c>
    </row>
    <row r="15" spans="1:19" ht="48" customHeight="1" x14ac:dyDescent="0.3">
      <c r="A15" s="164" t="s">
        <v>381</v>
      </c>
      <c r="B15" s="132">
        <v>3333</v>
      </c>
      <c r="C15" s="132">
        <v>3333</v>
      </c>
      <c r="D15" s="132">
        <v>3333</v>
      </c>
      <c r="E15" s="132">
        <v>3333</v>
      </c>
      <c r="F15" s="132">
        <f>3333</f>
        <v>3333</v>
      </c>
      <c r="G15" s="132">
        <f>3333+100000000+7244790-80000000</f>
        <v>27248123</v>
      </c>
      <c r="H15" s="132">
        <v>3333</v>
      </c>
      <c r="I15" s="132">
        <v>3333</v>
      </c>
      <c r="J15" s="132">
        <v>3333</v>
      </c>
      <c r="K15" s="132">
        <v>3333</v>
      </c>
      <c r="L15" s="132">
        <v>3333</v>
      </c>
      <c r="M15" s="132">
        <v>0</v>
      </c>
      <c r="N15" s="135">
        <f t="shared" si="2"/>
        <v>27281453</v>
      </c>
      <c r="O15" s="391">
        <f>Mérleg!C26</f>
        <v>27281453</v>
      </c>
      <c r="P15" s="4"/>
      <c r="Q15" s="391">
        <f>'Felhalmozási bevételek'!I42</f>
        <v>27281453</v>
      </c>
      <c r="R15" s="391">
        <f t="shared" si="3"/>
        <v>0</v>
      </c>
      <c r="S15" s="391"/>
    </row>
    <row r="16" spans="1:19" ht="20.149999999999999" customHeight="1" x14ac:dyDescent="0.3">
      <c r="A16" s="169" t="s">
        <v>461</v>
      </c>
      <c r="B16" s="132">
        <v>0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248900000</v>
      </c>
      <c r="L16" s="132">
        <v>0</v>
      </c>
      <c r="M16" s="132">
        <v>0</v>
      </c>
      <c r="N16" s="135">
        <f t="shared" si="2"/>
        <v>248900000</v>
      </c>
      <c r="O16" s="391">
        <f>Mérleg!D28</f>
        <v>248900000</v>
      </c>
      <c r="P16" s="4"/>
      <c r="Q16" s="391">
        <f>Mérleg!C28</f>
        <v>248900000</v>
      </c>
      <c r="R16" s="391">
        <f t="shared" si="3"/>
        <v>0</v>
      </c>
    </row>
    <row r="17" spans="1:20" ht="20.149999999999999" customHeight="1" x14ac:dyDescent="0.3">
      <c r="A17" s="436" t="s">
        <v>766</v>
      </c>
      <c r="B17" s="132">
        <v>0</v>
      </c>
      <c r="C17" s="132">
        <v>300000000</v>
      </c>
      <c r="D17" s="132">
        <v>0</v>
      </c>
      <c r="E17" s="132">
        <v>0</v>
      </c>
      <c r="F17" s="132">
        <v>0</v>
      </c>
      <c r="G17" s="132">
        <v>0</v>
      </c>
      <c r="H17" s="132">
        <v>200000000</v>
      </c>
      <c r="I17" s="132">
        <v>0</v>
      </c>
      <c r="J17" s="132">
        <v>0</v>
      </c>
      <c r="K17" s="132">
        <v>0</v>
      </c>
      <c r="L17" s="132">
        <v>0</v>
      </c>
      <c r="M17" s="132">
        <v>0</v>
      </c>
      <c r="N17" s="270">
        <f>SUM(B17:M17)</f>
        <v>500000000</v>
      </c>
      <c r="O17" s="391">
        <f>Mérleg!C31</f>
        <v>500000000</v>
      </c>
      <c r="P17" s="4"/>
      <c r="Q17" s="391">
        <f>N17</f>
        <v>500000000</v>
      </c>
      <c r="R17" s="391"/>
    </row>
    <row r="18" spans="1:20" ht="55.5" customHeight="1" x14ac:dyDescent="0.3">
      <c r="A18" s="271" t="s">
        <v>295</v>
      </c>
      <c r="B18" s="132">
        <v>0</v>
      </c>
      <c r="C18" s="132">
        <v>0</v>
      </c>
      <c r="D18" s="132">
        <v>0</v>
      </c>
      <c r="E18" s="132">
        <v>0</v>
      </c>
      <c r="F18" s="132">
        <v>0</v>
      </c>
      <c r="G18" s="132">
        <v>0</v>
      </c>
      <c r="H18" s="132">
        <v>0</v>
      </c>
      <c r="I18" s="132">
        <v>0</v>
      </c>
      <c r="J18" s="132">
        <v>0</v>
      </c>
      <c r="K18" s="132">
        <v>0</v>
      </c>
      <c r="L18" s="132">
        <v>0</v>
      </c>
      <c r="M18" s="269">
        <f>112273518+19780276</f>
        <v>132053794</v>
      </c>
      <c r="N18" s="270">
        <f>SUM(B18:M18)</f>
        <v>132053794</v>
      </c>
      <c r="O18" s="391">
        <f>Mérleg!C30</f>
        <v>132053794</v>
      </c>
      <c r="P18" s="4"/>
      <c r="Q18" s="391">
        <f>Mérleg!C30</f>
        <v>132053794</v>
      </c>
      <c r="R18" s="391">
        <f t="shared" si="3"/>
        <v>0</v>
      </c>
    </row>
    <row r="19" spans="1:20" ht="20.149999999999999" customHeight="1" thickBot="1" x14ac:dyDescent="0.35">
      <c r="A19" s="136" t="s">
        <v>122</v>
      </c>
      <c r="B19" s="137">
        <f>SUM(B5:B18)</f>
        <v>958043446.08333325</v>
      </c>
      <c r="C19" s="137">
        <f t="shared" ref="C19:M19" si="7">SUM(C5:C18)</f>
        <v>853895902.08333337</v>
      </c>
      <c r="D19" s="137">
        <f t="shared" si="7"/>
        <v>2972093648.0833335</v>
      </c>
      <c r="E19" s="137">
        <f t="shared" si="7"/>
        <v>783101724.08333325</v>
      </c>
      <c r="F19" s="137">
        <f t="shared" si="7"/>
        <v>534880149.08333331</v>
      </c>
      <c r="G19" s="137">
        <f t="shared" si="7"/>
        <v>812876297.08333337</v>
      </c>
      <c r="H19" s="137">
        <f t="shared" si="7"/>
        <v>1326917474.0833335</v>
      </c>
      <c r="I19" s="137">
        <f t="shared" si="7"/>
        <v>1618670829.0833335</v>
      </c>
      <c r="J19" s="137">
        <f t="shared" si="7"/>
        <v>1067471444.0833333</v>
      </c>
      <c r="K19" s="137">
        <f t="shared" si="7"/>
        <v>2138616724.0833335</v>
      </c>
      <c r="L19" s="137">
        <f t="shared" si="7"/>
        <v>2365073258.0833335</v>
      </c>
      <c r="M19" s="137">
        <f t="shared" si="7"/>
        <v>748646679.08333337</v>
      </c>
      <c r="N19" s="137">
        <f>SUM(N5:N18)</f>
        <v>16180287575</v>
      </c>
      <c r="O19" s="391">
        <f>SUM(O5:O18)</f>
        <v>16145687575</v>
      </c>
      <c r="P19" s="4"/>
      <c r="Q19" s="391">
        <f>SUM(Q5:Q18)</f>
        <v>16180287575</v>
      </c>
      <c r="R19" s="391">
        <f>Q19-N19</f>
        <v>0</v>
      </c>
      <c r="S19" s="391">
        <f>R19-Q19</f>
        <v>-16180287575</v>
      </c>
    </row>
    <row r="20" spans="1:20" ht="20.149999999999999" customHeight="1" thickBot="1" x14ac:dyDescent="0.35">
      <c r="A20" s="87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31"/>
      <c r="O20" s="391"/>
      <c r="R20" s="391">
        <f t="shared" si="3"/>
        <v>0</v>
      </c>
    </row>
    <row r="21" spans="1:20" ht="20.149999999999999" customHeight="1" x14ac:dyDescent="0.3">
      <c r="A21" s="168" t="s">
        <v>63</v>
      </c>
      <c r="B21" s="133">
        <f>272560000/1.1+3370000</f>
        <v>251151818.18181816</v>
      </c>
      <c r="C21" s="133">
        <f>B21*1.1+3370000</f>
        <v>279637000</v>
      </c>
      <c r="D21" s="133">
        <f>272560000+3370000</f>
        <v>275930000</v>
      </c>
      <c r="E21" s="133">
        <f>272560000+3370000</f>
        <v>275930000</v>
      </c>
      <c r="F21" s="133">
        <f>272560000+3370000</f>
        <v>275930000</v>
      </c>
      <c r="G21" s="133">
        <f>272560000+3370000</f>
        <v>275930000</v>
      </c>
      <c r="H21" s="133">
        <f>272560000+161061092+4000+3370000-3771150</f>
        <v>433223942</v>
      </c>
      <c r="I21" s="133">
        <f>272560000+3370000</f>
        <v>275930000</v>
      </c>
      <c r="J21" s="133">
        <f>272560000+3370000</f>
        <v>275930000</v>
      </c>
      <c r="K21" s="133">
        <f>272560000+3370000</f>
        <v>275930000</v>
      </c>
      <c r="L21" s="133">
        <f>272560000+3370000</f>
        <v>275930000</v>
      </c>
      <c r="M21" s="133">
        <f>272560000+3370000</f>
        <v>275930000</v>
      </c>
      <c r="N21" s="134">
        <f>SUM(B21:M21)</f>
        <v>3447382760.181818</v>
      </c>
      <c r="O21" s="391">
        <f>'Működési kiadások'!E38+'Működési kiadások'!E169+'Működési kiadások'!E197+'Működési kiadások'!E216</f>
        <v>3447382760</v>
      </c>
      <c r="P21" s="4"/>
      <c r="Q21" s="391">
        <f>'Működési kiadások'!E38+'Működési kiadások'!E169+'Működési kiadások'!E197+'Működési kiadások'!E216</f>
        <v>3447382760</v>
      </c>
      <c r="R21" s="391">
        <f t="shared" si="3"/>
        <v>-0.18181800842285156</v>
      </c>
      <c r="S21" s="422">
        <f>Q21-N21</f>
        <v>-0.18181800842285156</v>
      </c>
      <c r="T21" s="611">
        <f>S21/12.5</f>
        <v>-1.4545440673828125E-2</v>
      </c>
    </row>
    <row r="22" spans="1:20" ht="20.149999999999999" customHeight="1" x14ac:dyDescent="0.3">
      <c r="A22" s="169" t="s">
        <v>64</v>
      </c>
      <c r="B22" s="132">
        <f>B21*0.13</f>
        <v>32649736.363636363</v>
      </c>
      <c r="C22" s="132">
        <f t="shared" ref="C22:L22" si="8">C21*0.13</f>
        <v>36352810</v>
      </c>
      <c r="D22" s="132">
        <f t="shared" si="8"/>
        <v>35870900</v>
      </c>
      <c r="E22" s="132">
        <f t="shared" si="8"/>
        <v>35870900</v>
      </c>
      <c r="F22" s="132">
        <f t="shared" si="8"/>
        <v>35870900</v>
      </c>
      <c r="G22" s="132">
        <f t="shared" si="8"/>
        <v>35870900</v>
      </c>
      <c r="H22" s="132">
        <f>H21*0.13+61737593-701825</f>
        <v>117354880.46000001</v>
      </c>
      <c r="I22" s="132">
        <f t="shared" si="8"/>
        <v>35870900</v>
      </c>
      <c r="J22" s="132">
        <f t="shared" si="8"/>
        <v>35870900</v>
      </c>
      <c r="K22" s="132">
        <f t="shared" si="8"/>
        <v>35870900</v>
      </c>
      <c r="L22" s="132">
        <f t="shared" si="8"/>
        <v>35870900</v>
      </c>
      <c r="M22" s="132">
        <f>M21*0.13-1</f>
        <v>35870899</v>
      </c>
      <c r="N22" s="135">
        <f t="shared" ref="N22:N31" si="9">SUM(B22:M22)</f>
        <v>509195525.82363641</v>
      </c>
      <c r="O22" s="391">
        <f>'Működési kiadások'!F38+'Működési kiadások'!F169+'Működési kiadások'!F197+'Működési kiadások'!F216</f>
        <v>509195527</v>
      </c>
      <c r="P22" s="4"/>
      <c r="Q22" s="391">
        <f>'Működési kiadások'!F216+'Működési kiadások'!F197+'Működési kiadások'!F169+'Működési kiadások'!F38</f>
        <v>509195527</v>
      </c>
      <c r="R22" s="391">
        <f t="shared" si="3"/>
        <v>1.1763635873794556</v>
      </c>
      <c r="S22" s="422">
        <f>Q22-N22</f>
        <v>1.1763635873794556</v>
      </c>
      <c r="T22" s="611">
        <f>S22/11</f>
        <v>0.10694214430722324</v>
      </c>
    </row>
    <row r="23" spans="1:20" ht="20.149999999999999" customHeight="1" x14ac:dyDescent="0.3">
      <c r="A23" s="169" t="s">
        <v>65</v>
      </c>
      <c r="B23" s="132">
        <v>275935114</v>
      </c>
      <c r="C23" s="132">
        <f>275935114+8088100</f>
        <v>284023214</v>
      </c>
      <c r="D23" s="132">
        <v>275935114</v>
      </c>
      <c r="E23" s="132">
        <f>275935114-14064984+809999</f>
        <v>262680129</v>
      </c>
      <c r="F23" s="132">
        <v>275935114</v>
      </c>
      <c r="G23" s="132">
        <f>275935114+6350000</f>
        <v>282285114</v>
      </c>
      <c r="H23" s="132">
        <f>275935114+100000000</f>
        <v>375935114</v>
      </c>
      <c r="I23" s="132">
        <f>275935114+100000000</f>
        <v>375935114</v>
      </c>
      <c r="J23" s="132">
        <v>275935114</v>
      </c>
      <c r="K23" s="132">
        <f>275935114+1270000</f>
        <v>277205114</v>
      </c>
      <c r="L23" s="132">
        <f>275935114+80000000</f>
        <v>355935114</v>
      </c>
      <c r="M23" s="132">
        <f>275935109+2550000+2105999+76342574</f>
        <v>356933682</v>
      </c>
      <c r="N23" s="135">
        <f>SUM(B23:M23)</f>
        <v>3674673051</v>
      </c>
      <c r="O23" s="391">
        <f>'Működési kiadások'!G216+'Működési kiadások'!G197+'Működési kiadások'!G169+'Működési kiadások'!G38</f>
        <v>3676253051</v>
      </c>
      <c r="P23" s="4"/>
      <c r="Q23" s="391">
        <f>'Működési kiadások'!G38+'Működési kiadások'!G169+'Működési kiadások'!G197+'Működési kiadások'!G216-Mérleg!L13</f>
        <v>3674673051</v>
      </c>
      <c r="R23" s="391">
        <f t="shared" si="3"/>
        <v>0</v>
      </c>
      <c r="S23" s="391"/>
      <c r="T23" s="391">
        <f>N23+N30</f>
        <v>3676253051</v>
      </c>
    </row>
    <row r="24" spans="1:20" ht="20.149999999999999" customHeight="1" x14ac:dyDescent="0.3">
      <c r="A24" s="169" t="s">
        <v>383</v>
      </c>
      <c r="B24" s="132">
        <v>2500000</v>
      </c>
      <c r="C24" s="132">
        <v>2500000</v>
      </c>
      <c r="D24" s="132">
        <v>4690000</v>
      </c>
      <c r="E24" s="132">
        <v>4690000</v>
      </c>
      <c r="F24" s="132">
        <v>4690000</v>
      </c>
      <c r="G24" s="132">
        <v>4690000</v>
      </c>
      <c r="H24" s="132">
        <v>4690000</v>
      </c>
      <c r="I24" s="132">
        <v>4690000</v>
      </c>
      <c r="J24" s="132">
        <v>4690000</v>
      </c>
      <c r="K24" s="132">
        <v>4690000</v>
      </c>
      <c r="L24" s="132">
        <v>4690000</v>
      </c>
      <c r="M24" s="132">
        <v>4690000</v>
      </c>
      <c r="N24" s="135">
        <f t="shared" si="9"/>
        <v>51900000</v>
      </c>
      <c r="O24" s="391">
        <f>'Működési kiadások'!J38+'Működési kiadások'!J169+'Működési kiadások'!J197+'Működési kiadások'!J216</f>
        <v>51900000</v>
      </c>
      <c r="P24" s="4"/>
      <c r="Q24" s="391">
        <f>'Működési kiadások'!J216+'Működési kiadások'!J197+'Működési kiadások'!J169+'Működési kiadások'!J38</f>
        <v>51900000</v>
      </c>
      <c r="R24" s="391">
        <f t="shared" si="3"/>
        <v>0</v>
      </c>
      <c r="S24" s="391"/>
    </row>
    <row r="25" spans="1:20" ht="20.149999999999999" customHeight="1" x14ac:dyDescent="0.3">
      <c r="A25" s="169" t="s">
        <v>124</v>
      </c>
      <c r="B25" s="132">
        <f>109290000-40000000</f>
        <v>69290000</v>
      </c>
      <c r="C25" s="132">
        <f>109290000-48630114+554757-1109514</f>
        <v>60105129</v>
      </c>
      <c r="D25" s="132">
        <v>109290000</v>
      </c>
      <c r="E25" s="132">
        <v>109290000</v>
      </c>
      <c r="F25" s="132">
        <f>109290000+554757</f>
        <v>109844757</v>
      </c>
      <c r="G25" s="132">
        <v>109290000</v>
      </c>
      <c r="H25" s="132">
        <v>109290000</v>
      </c>
      <c r="I25" s="132">
        <v>109290000</v>
      </c>
      <c r="J25" s="132">
        <v>109290000</v>
      </c>
      <c r="K25" s="132">
        <v>109290000</v>
      </c>
      <c r="L25" s="132">
        <v>109290000</v>
      </c>
      <c r="M25" s="132">
        <v>109290000</v>
      </c>
      <c r="N25" s="135">
        <f t="shared" si="9"/>
        <v>1222849886</v>
      </c>
      <c r="O25" s="391">
        <f>'Működési kiadások'!H216+'Működési kiadások'!H197+'Működési kiadások'!H169+'Működési kiadások'!H38-O26</f>
        <v>1222849886</v>
      </c>
      <c r="P25" s="4"/>
      <c r="Q25" s="391">
        <f>'Működési kiadások'!H38+'Működési kiadások'!H169+'Működési kiadások'!H197+'Működési kiadások'!H216-'Működési kiadások'!H105</f>
        <v>1222849886</v>
      </c>
      <c r="R25" s="391">
        <f>Q25-N25</f>
        <v>0</v>
      </c>
      <c r="S25" s="391">
        <f>R25/11</f>
        <v>0</v>
      </c>
      <c r="T25" s="390">
        <f>N25/12</f>
        <v>101904157.16666667</v>
      </c>
    </row>
    <row r="26" spans="1:20" ht="34.5" customHeight="1" x14ac:dyDescent="0.3">
      <c r="A26" s="364" t="s">
        <v>462</v>
      </c>
      <c r="B26" s="132">
        <v>112095084</v>
      </c>
      <c r="C26" s="132">
        <v>112095084</v>
      </c>
      <c r="D26" s="132">
        <v>112095084</v>
      </c>
      <c r="E26" s="132">
        <v>112095084</v>
      </c>
      <c r="F26" s="132">
        <v>112095084</v>
      </c>
      <c r="G26" s="132">
        <v>112095084</v>
      </c>
      <c r="H26" s="132">
        <v>112095084</v>
      </c>
      <c r="I26" s="132">
        <v>112095084</v>
      </c>
      <c r="J26" s="132">
        <v>112095084</v>
      </c>
      <c r="K26" s="132">
        <v>112095084</v>
      </c>
      <c r="L26" s="132">
        <v>112095084</v>
      </c>
      <c r="M26" s="132">
        <f>112095084+3</f>
        <v>112095087</v>
      </c>
      <c r="N26" s="373">
        <f>SUM(B26:M26)</f>
        <v>1345141011</v>
      </c>
      <c r="O26" s="391">
        <f>'Működési kiadások'!H105</f>
        <v>1345141011</v>
      </c>
      <c r="P26" s="4"/>
      <c r="Q26" s="391">
        <f>'Működési kiadások'!H105</f>
        <v>1345141011</v>
      </c>
      <c r="R26" s="391">
        <f t="shared" si="3"/>
        <v>0</v>
      </c>
      <c r="S26" s="391"/>
      <c r="T26" s="390">
        <f>Q26/12</f>
        <v>112095084.25</v>
      </c>
    </row>
    <row r="27" spans="1:20" ht="20.149999999999999" customHeight="1" x14ac:dyDescent="0.3">
      <c r="A27" s="169" t="s">
        <v>125</v>
      </c>
      <c r="B27" s="132">
        <v>0</v>
      </c>
      <c r="C27" s="132">
        <v>0</v>
      </c>
      <c r="D27" s="132">
        <f>60000000+6350000</f>
        <v>66350000</v>
      </c>
      <c r="E27" s="132">
        <f>60000000+6000000+95472500+30500000</f>
        <v>191972500</v>
      </c>
      <c r="F27" s="132">
        <f>250000000-1000000</f>
        <v>249000000</v>
      </c>
      <c r="G27" s="132">
        <v>250000000</v>
      </c>
      <c r="H27" s="132">
        <v>0</v>
      </c>
      <c r="I27" s="132">
        <v>100542000</v>
      </c>
      <c r="J27" s="132">
        <f>250000000-18800000</f>
        <v>231200000</v>
      </c>
      <c r="K27" s="132">
        <v>158206275</v>
      </c>
      <c r="L27" s="132">
        <v>0</v>
      </c>
      <c r="M27" s="132">
        <v>0</v>
      </c>
      <c r="N27" s="135">
        <f>SUM(B27:M27)</f>
        <v>1247270775</v>
      </c>
      <c r="O27" s="391">
        <f>'Működési kiadások'!I38+'Működési kiadások'!I169+'Működési kiadások'!I197+'Működési kiadások'!I216</f>
        <v>1247270775</v>
      </c>
      <c r="P27" s="4"/>
      <c r="Q27" s="391">
        <f>'Működési kiadások'!I38+'Működési kiadások'!I169+'Működési kiadások'!I197+'Működési kiadások'!I216</f>
        <v>1247270775</v>
      </c>
      <c r="R27" s="391">
        <f t="shared" si="3"/>
        <v>0</v>
      </c>
      <c r="S27" s="390">
        <f>R27/2</f>
        <v>0</v>
      </c>
      <c r="T27" s="390">
        <f>Q27/4</f>
        <v>311817693.75</v>
      </c>
    </row>
    <row r="28" spans="1:20" ht="20.149999999999999" customHeight="1" x14ac:dyDescent="0.3">
      <c r="A28" s="169" t="s">
        <v>126</v>
      </c>
      <c r="B28" s="132">
        <v>0</v>
      </c>
      <c r="C28" s="132">
        <v>0</v>
      </c>
      <c r="D28" s="132">
        <v>0</v>
      </c>
      <c r="E28" s="132">
        <v>0</v>
      </c>
      <c r="F28" s="132">
        <v>0</v>
      </c>
      <c r="G28" s="132">
        <v>0</v>
      </c>
      <c r="H28" s="132">
        <v>0</v>
      </c>
      <c r="I28" s="132">
        <v>0</v>
      </c>
      <c r="J28" s="132">
        <v>0</v>
      </c>
      <c r="K28" s="132">
        <v>0</v>
      </c>
      <c r="L28" s="132">
        <v>0</v>
      </c>
      <c r="M28" s="132">
        <v>0</v>
      </c>
      <c r="N28" s="135">
        <f t="shared" si="9"/>
        <v>0</v>
      </c>
      <c r="O28" s="391">
        <f>Mérleg!L11</f>
        <v>0</v>
      </c>
      <c r="P28" s="4"/>
      <c r="Q28" s="391">
        <f>Mérleg!L11</f>
        <v>0</v>
      </c>
      <c r="R28" s="391">
        <f t="shared" si="3"/>
        <v>0</v>
      </c>
    </row>
    <row r="29" spans="1:20" ht="20.149999999999999" customHeight="1" x14ac:dyDescent="0.3">
      <c r="A29" s="169" t="s">
        <v>127</v>
      </c>
      <c r="B29" s="132">
        <v>86176000</v>
      </c>
      <c r="C29" s="132">
        <v>50000000</v>
      </c>
      <c r="D29" s="132">
        <v>70000000</v>
      </c>
      <c r="E29" s="132">
        <f>118000000+47405226</f>
        <v>165405226</v>
      </c>
      <c r="F29" s="132">
        <v>118000000</v>
      </c>
      <c r="G29" s="132">
        <v>520000000</v>
      </c>
      <c r="H29" s="132">
        <f>118000000+100000000+500000000-54000000</f>
        <v>664000000</v>
      </c>
      <c r="I29" s="132">
        <f>118000000+49588889+500000000-60000000</f>
        <v>607588889</v>
      </c>
      <c r="J29" s="132">
        <v>8190720</v>
      </c>
      <c r="K29" s="132">
        <f>118000000+6528637+500000000-545243814</f>
        <v>79284823</v>
      </c>
      <c r="L29" s="132">
        <f>118000000+100000000+1000000000</f>
        <v>1218000000</v>
      </c>
      <c r="M29" s="132">
        <f>118000000+130643076+409981185</f>
        <v>658624261</v>
      </c>
      <c r="N29" s="135">
        <f>SUM(B29:M29)</f>
        <v>4245269919</v>
      </c>
      <c r="O29" s="391">
        <f>'Felhalmozási kiadások'!I105</f>
        <v>4245269919</v>
      </c>
      <c r="P29" s="4"/>
      <c r="Q29" s="391">
        <f>'Felhalmozási kiadások'!I105</f>
        <v>4245269919</v>
      </c>
      <c r="R29" s="391">
        <f t="shared" si="3"/>
        <v>0</v>
      </c>
      <c r="S29" s="391">
        <f>Q29-N29</f>
        <v>0</v>
      </c>
      <c r="T29" s="390">
        <f>S29/9</f>
        <v>0</v>
      </c>
    </row>
    <row r="30" spans="1:20" ht="20.149999999999999" customHeight="1" x14ac:dyDescent="0.3">
      <c r="A30" s="169" t="s">
        <v>128</v>
      </c>
      <c r="B30" s="132">
        <v>0</v>
      </c>
      <c r="C30" s="132">
        <v>1580000</v>
      </c>
      <c r="D30" s="132">
        <v>0</v>
      </c>
      <c r="E30" s="132">
        <v>0</v>
      </c>
      <c r="F30" s="132">
        <v>0</v>
      </c>
      <c r="G30" s="132">
        <v>0</v>
      </c>
      <c r="H30" s="132">
        <v>0</v>
      </c>
      <c r="I30" s="132">
        <v>0</v>
      </c>
      <c r="J30" s="132">
        <v>0</v>
      </c>
      <c r="K30" s="132">
        <v>0</v>
      </c>
      <c r="L30" s="132">
        <v>0</v>
      </c>
      <c r="M30" s="132">
        <v>0</v>
      </c>
      <c r="N30" s="135">
        <f t="shared" si="9"/>
        <v>1580000</v>
      </c>
      <c r="O30" s="391">
        <f>Mérleg!L13</f>
        <v>1580000</v>
      </c>
      <c r="P30" s="4"/>
      <c r="Q30" s="391">
        <f>Mérleg!L13</f>
        <v>1580000</v>
      </c>
      <c r="R30" s="391">
        <f t="shared" si="3"/>
        <v>0</v>
      </c>
    </row>
    <row r="31" spans="1:20" ht="20.149999999999999" customHeight="1" x14ac:dyDescent="0.3">
      <c r="A31" s="169" t="s">
        <v>132</v>
      </c>
      <c r="B31" s="132">
        <v>0</v>
      </c>
      <c r="C31" s="132">
        <v>0</v>
      </c>
      <c r="D31" s="132">
        <v>0</v>
      </c>
      <c r="E31" s="132">
        <v>0</v>
      </c>
      <c r="F31" s="132">
        <v>0</v>
      </c>
      <c r="G31" s="132">
        <v>0</v>
      </c>
      <c r="H31" s="132">
        <v>0</v>
      </c>
      <c r="I31" s="132">
        <v>0</v>
      </c>
      <c r="J31" s="132">
        <v>0</v>
      </c>
      <c r="K31" s="132"/>
      <c r="L31" s="132">
        <f>250000000-2550000+4000000+18149950-48904782+101901465-46405226-60317743-1-635000</f>
        <v>215238663</v>
      </c>
      <c r="M31" s="132">
        <f>262046674-23516842-7824757+18800000-110500000+1-6350000-44922884</f>
        <v>87732192</v>
      </c>
      <c r="N31" s="135">
        <f t="shared" si="9"/>
        <v>302970855</v>
      </c>
      <c r="O31" s="391">
        <f>'Működési kiadások'!K169+'Működési kiadások'!K197+'Működési kiadások'!K216+'Működési kiadások'!K38</f>
        <v>302970855</v>
      </c>
      <c r="P31" s="4"/>
      <c r="Q31" s="391">
        <f>'Működési kiadások'!K216+'Működési kiadások'!K197+'Működési kiadások'!K169+'Működési kiadások'!K38</f>
        <v>302970855</v>
      </c>
      <c r="R31" s="391">
        <f t="shared" si="3"/>
        <v>0</v>
      </c>
      <c r="S31" s="391"/>
    </row>
    <row r="32" spans="1:20" ht="57" customHeight="1" x14ac:dyDescent="0.3">
      <c r="A32" s="271" t="s">
        <v>296</v>
      </c>
      <c r="B32" s="269">
        <f>112273518+19780276</f>
        <v>132053794</v>
      </c>
      <c r="C32" s="269">
        <v>0</v>
      </c>
      <c r="D32" s="269">
        <v>0</v>
      </c>
      <c r="E32" s="269">
        <v>0</v>
      </c>
      <c r="F32" s="269">
        <v>0</v>
      </c>
      <c r="G32" s="269">
        <v>0</v>
      </c>
      <c r="H32" s="269">
        <v>0</v>
      </c>
      <c r="I32" s="269">
        <v>0</v>
      </c>
      <c r="J32" s="269">
        <v>0</v>
      </c>
      <c r="K32" s="269">
        <v>0</v>
      </c>
      <c r="L32" s="269">
        <v>0</v>
      </c>
      <c r="M32" s="269">
        <v>0</v>
      </c>
      <c r="N32" s="270">
        <f>SUM(B32:M32)</f>
        <v>132053794</v>
      </c>
      <c r="O32" s="391">
        <f>'Működési kiadások'!L105</f>
        <v>132053794</v>
      </c>
      <c r="P32" s="4"/>
      <c r="Q32" s="391">
        <f>Mérleg!L12</f>
        <v>132053794</v>
      </c>
      <c r="R32" s="391">
        <f t="shared" si="3"/>
        <v>0</v>
      </c>
    </row>
    <row r="33" spans="1:19" ht="20.149999999999999" customHeight="1" thickBot="1" x14ac:dyDescent="0.35">
      <c r="A33" s="136" t="s">
        <v>129</v>
      </c>
      <c r="B33" s="137">
        <f>SUM(B21:B32)-1</f>
        <v>961851545.5454545</v>
      </c>
      <c r="C33" s="137">
        <f t="shared" ref="C33:L33" si="10">SUM(C21:C32)</f>
        <v>826293237</v>
      </c>
      <c r="D33" s="137">
        <f t="shared" si="10"/>
        <v>950161098</v>
      </c>
      <c r="E33" s="137">
        <f t="shared" si="10"/>
        <v>1157933839</v>
      </c>
      <c r="F33" s="137">
        <f t="shared" si="10"/>
        <v>1181365855</v>
      </c>
      <c r="G33" s="137">
        <f t="shared" si="10"/>
        <v>1590161098</v>
      </c>
      <c r="H33" s="137">
        <f t="shared" si="10"/>
        <v>1816589020.46</v>
      </c>
      <c r="I33" s="137">
        <f t="shared" si="10"/>
        <v>1621941987</v>
      </c>
      <c r="J33" s="137">
        <f t="shared" si="10"/>
        <v>1053201818</v>
      </c>
      <c r="K33" s="137">
        <f t="shared" si="10"/>
        <v>1052572196</v>
      </c>
      <c r="L33" s="137">
        <f t="shared" si="10"/>
        <v>2327049761</v>
      </c>
      <c r="M33" s="137">
        <f>SUM(M21:M32)-1</f>
        <v>1641166120</v>
      </c>
      <c r="N33" s="374">
        <f>SUM(N21:N32)-2</f>
        <v>16180287575.005455</v>
      </c>
      <c r="O33" s="391">
        <f>SUM(O21:O32)</f>
        <v>16181867578</v>
      </c>
      <c r="P33" s="4"/>
      <c r="Q33" s="391">
        <f>SUM(Q21:Q32)</f>
        <v>16180287578</v>
      </c>
      <c r="R33" s="391">
        <f t="shared" si="3"/>
        <v>2.9945449829101563</v>
      </c>
      <c r="S33" s="391">
        <f>R33-Q33</f>
        <v>-16180287575.005455</v>
      </c>
    </row>
    <row r="34" spans="1:19" ht="20.149999999999999" customHeight="1" x14ac:dyDescent="0.3">
      <c r="A34" s="87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31" t="s">
        <v>62</v>
      </c>
    </row>
    <row r="35" spans="1:19" ht="20.149999999999999" customHeight="1" x14ac:dyDescent="0.25">
      <c r="A35" s="87" t="s">
        <v>130</v>
      </c>
      <c r="B35" s="88">
        <f>B19-B33</f>
        <v>-3808099.4621212482</v>
      </c>
      <c r="C35" s="88">
        <f t="shared" ref="C35:L35" si="11">C19-C33</f>
        <v>27602665.083333373</v>
      </c>
      <c r="D35" s="88">
        <f t="shared" si="11"/>
        <v>2021932550.0833335</v>
      </c>
      <c r="E35" s="88">
        <f t="shared" si="11"/>
        <v>-374832114.91666675</v>
      </c>
      <c r="F35" s="88">
        <f t="shared" si="11"/>
        <v>-646485705.91666675</v>
      </c>
      <c r="G35" s="88">
        <f t="shared" si="11"/>
        <v>-777284800.91666663</v>
      </c>
      <c r="H35" s="88">
        <f t="shared" si="11"/>
        <v>-489671546.37666655</v>
      </c>
      <c r="I35" s="88">
        <f t="shared" si="11"/>
        <v>-3271157.9166665077</v>
      </c>
      <c r="J35" s="88">
        <f t="shared" si="11"/>
        <v>14269626.083333254</v>
      </c>
      <c r="K35" s="88">
        <f t="shared" si="11"/>
        <v>1086044528.0833335</v>
      </c>
      <c r="L35" s="88">
        <f t="shared" si="11"/>
        <v>38023497.083333492</v>
      </c>
      <c r="M35" s="88">
        <f>M19-M33-1</f>
        <v>-892519441.91666663</v>
      </c>
      <c r="N35" s="88">
        <f>N19-N33</f>
        <v>-5.45501708984375E-3</v>
      </c>
      <c r="Q35" s="391"/>
    </row>
    <row r="36" spans="1:19" ht="20.149999999999999" customHeight="1" x14ac:dyDescent="0.3">
      <c r="A36" s="72" t="s">
        <v>131</v>
      </c>
      <c r="B36" s="31">
        <f>B35</f>
        <v>-3808099.4621212482</v>
      </c>
      <c r="C36" s="31">
        <f>B36+C35</f>
        <v>23794565.621212125</v>
      </c>
      <c r="D36" s="31">
        <f t="shared" ref="D36:K36" si="12">C36+D35</f>
        <v>2045727115.7045455</v>
      </c>
      <c r="E36" s="31">
        <f t="shared" si="12"/>
        <v>1670895000.7878788</v>
      </c>
      <c r="F36" s="31">
        <f t="shared" si="12"/>
        <v>1024409294.871212</v>
      </c>
      <c r="G36" s="31">
        <f t="shared" si="12"/>
        <v>247124493.95454538</v>
      </c>
      <c r="H36" s="31">
        <f t="shared" si="12"/>
        <v>-242547052.42212117</v>
      </c>
      <c r="I36" s="31">
        <f t="shared" si="12"/>
        <v>-245818210.33878767</v>
      </c>
      <c r="J36" s="31">
        <f t="shared" si="12"/>
        <v>-231548584.25545442</v>
      </c>
      <c r="K36" s="31">
        <f t="shared" si="12"/>
        <v>854495943.82787907</v>
      </c>
      <c r="L36" s="31">
        <f>K36+L35</f>
        <v>892519440.91121256</v>
      </c>
      <c r="M36" s="31">
        <f>L36+M35+1</f>
        <v>-5.4540634155273438E-3</v>
      </c>
      <c r="N36" s="88"/>
    </row>
    <row r="37" spans="1:19" x14ac:dyDescent="0.25">
      <c r="A37" s="8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8"/>
      <c r="M37" s="89"/>
      <c r="N37" s="89"/>
    </row>
    <row r="40" spans="1:19" x14ac:dyDescent="0.25">
      <c r="N40" s="4"/>
    </row>
  </sheetData>
  <pageMargins left="0.74803149606299213" right="0.74803149606299213" top="0.98425196850393704" bottom="0.98425196850393704" header="0.51181102362204722" footer="0.51181102362204722"/>
  <pageSetup paperSize="8" scale="85" orientation="landscape" r:id="rId1"/>
  <headerFooter alignWithMargins="0">
    <oddHeader>&amp;C&amp;"Arial,Félkövér"Likviditási ütemterv
Mosonmagyaróvár Város Önkormányzata</oddHeader>
  </headerFooter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0.59999389629810485"/>
  </sheetPr>
  <dimension ref="A1:N235"/>
  <sheetViews>
    <sheetView zoomScaleNormal="100" workbookViewId="0">
      <selection activeCell="B27" sqref="B27"/>
    </sheetView>
  </sheetViews>
  <sheetFormatPr defaultRowHeight="12.5" x14ac:dyDescent="0.25"/>
  <cols>
    <col min="1" max="1" width="31.81640625" customWidth="1"/>
    <col min="2" max="2" width="14.81640625" customWidth="1"/>
    <col min="3" max="3" width="18" customWidth="1"/>
    <col min="4" max="4" width="15.81640625" customWidth="1"/>
    <col min="5" max="5" width="16.453125" customWidth="1"/>
    <col min="258" max="258" width="31.81640625" customWidth="1"/>
    <col min="259" max="261" width="10.1796875" bestFit="1" customWidth="1"/>
    <col min="514" max="514" width="31.81640625" customWidth="1"/>
    <col min="515" max="517" width="10.1796875" bestFit="1" customWidth="1"/>
    <col min="770" max="770" width="31.81640625" customWidth="1"/>
    <col min="771" max="773" width="10.1796875" bestFit="1" customWidth="1"/>
    <col min="1026" max="1026" width="31.81640625" customWidth="1"/>
    <col min="1027" max="1029" width="10.1796875" bestFit="1" customWidth="1"/>
    <col min="1282" max="1282" width="31.81640625" customWidth="1"/>
    <col min="1283" max="1285" width="10.1796875" bestFit="1" customWidth="1"/>
    <col min="1538" max="1538" width="31.81640625" customWidth="1"/>
    <col min="1539" max="1541" width="10.1796875" bestFit="1" customWidth="1"/>
    <col min="1794" max="1794" width="31.81640625" customWidth="1"/>
    <col min="1795" max="1797" width="10.1796875" bestFit="1" customWidth="1"/>
    <col min="2050" max="2050" width="31.81640625" customWidth="1"/>
    <col min="2051" max="2053" width="10.1796875" bestFit="1" customWidth="1"/>
    <col min="2306" max="2306" width="31.81640625" customWidth="1"/>
    <col min="2307" max="2309" width="10.1796875" bestFit="1" customWidth="1"/>
    <col min="2562" max="2562" width="31.81640625" customWidth="1"/>
    <col min="2563" max="2565" width="10.1796875" bestFit="1" customWidth="1"/>
    <col min="2818" max="2818" width="31.81640625" customWidth="1"/>
    <col min="2819" max="2821" width="10.1796875" bestFit="1" customWidth="1"/>
    <col min="3074" max="3074" width="31.81640625" customWidth="1"/>
    <col min="3075" max="3077" width="10.1796875" bestFit="1" customWidth="1"/>
    <col min="3330" max="3330" width="31.81640625" customWidth="1"/>
    <col min="3331" max="3333" width="10.1796875" bestFit="1" customWidth="1"/>
    <col min="3586" max="3586" width="31.81640625" customWidth="1"/>
    <col min="3587" max="3589" width="10.1796875" bestFit="1" customWidth="1"/>
    <col min="3842" max="3842" width="31.81640625" customWidth="1"/>
    <col min="3843" max="3845" width="10.1796875" bestFit="1" customWidth="1"/>
    <col min="4098" max="4098" width="31.81640625" customWidth="1"/>
    <col min="4099" max="4101" width="10.1796875" bestFit="1" customWidth="1"/>
    <col min="4354" max="4354" width="31.81640625" customWidth="1"/>
    <col min="4355" max="4357" width="10.1796875" bestFit="1" customWidth="1"/>
    <col min="4610" max="4610" width="31.81640625" customWidth="1"/>
    <col min="4611" max="4613" width="10.1796875" bestFit="1" customWidth="1"/>
    <col min="4866" max="4866" width="31.81640625" customWidth="1"/>
    <col min="4867" max="4869" width="10.1796875" bestFit="1" customWidth="1"/>
    <col min="5122" max="5122" width="31.81640625" customWidth="1"/>
    <col min="5123" max="5125" width="10.1796875" bestFit="1" customWidth="1"/>
    <col min="5378" max="5378" width="31.81640625" customWidth="1"/>
    <col min="5379" max="5381" width="10.1796875" bestFit="1" customWidth="1"/>
    <col min="5634" max="5634" width="31.81640625" customWidth="1"/>
    <col min="5635" max="5637" width="10.1796875" bestFit="1" customWidth="1"/>
    <col min="5890" max="5890" width="31.81640625" customWidth="1"/>
    <col min="5891" max="5893" width="10.1796875" bestFit="1" customWidth="1"/>
    <col min="6146" max="6146" width="31.81640625" customWidth="1"/>
    <col min="6147" max="6149" width="10.1796875" bestFit="1" customWidth="1"/>
    <col min="6402" max="6402" width="31.81640625" customWidth="1"/>
    <col min="6403" max="6405" width="10.1796875" bestFit="1" customWidth="1"/>
    <col min="6658" max="6658" width="31.81640625" customWidth="1"/>
    <col min="6659" max="6661" width="10.1796875" bestFit="1" customWidth="1"/>
    <col min="6914" max="6914" width="31.81640625" customWidth="1"/>
    <col min="6915" max="6917" width="10.1796875" bestFit="1" customWidth="1"/>
    <col min="7170" max="7170" width="31.81640625" customWidth="1"/>
    <col min="7171" max="7173" width="10.1796875" bestFit="1" customWidth="1"/>
    <col min="7426" max="7426" width="31.81640625" customWidth="1"/>
    <col min="7427" max="7429" width="10.1796875" bestFit="1" customWidth="1"/>
    <col min="7682" max="7682" width="31.81640625" customWidth="1"/>
    <col min="7683" max="7685" width="10.1796875" bestFit="1" customWidth="1"/>
    <col min="7938" max="7938" width="31.81640625" customWidth="1"/>
    <col min="7939" max="7941" width="10.1796875" bestFit="1" customWidth="1"/>
    <col min="8194" max="8194" width="31.81640625" customWidth="1"/>
    <col min="8195" max="8197" width="10.1796875" bestFit="1" customWidth="1"/>
    <col min="8450" max="8450" width="31.81640625" customWidth="1"/>
    <col min="8451" max="8453" width="10.1796875" bestFit="1" customWidth="1"/>
    <col min="8706" max="8706" width="31.81640625" customWidth="1"/>
    <col min="8707" max="8709" width="10.1796875" bestFit="1" customWidth="1"/>
    <col min="8962" max="8962" width="31.81640625" customWidth="1"/>
    <col min="8963" max="8965" width="10.1796875" bestFit="1" customWidth="1"/>
    <col min="9218" max="9218" width="31.81640625" customWidth="1"/>
    <col min="9219" max="9221" width="10.1796875" bestFit="1" customWidth="1"/>
    <col min="9474" max="9474" width="31.81640625" customWidth="1"/>
    <col min="9475" max="9477" width="10.1796875" bestFit="1" customWidth="1"/>
    <col min="9730" max="9730" width="31.81640625" customWidth="1"/>
    <col min="9731" max="9733" width="10.1796875" bestFit="1" customWidth="1"/>
    <col min="9986" max="9986" width="31.81640625" customWidth="1"/>
    <col min="9987" max="9989" width="10.1796875" bestFit="1" customWidth="1"/>
    <col min="10242" max="10242" width="31.81640625" customWidth="1"/>
    <col min="10243" max="10245" width="10.1796875" bestFit="1" customWidth="1"/>
    <col min="10498" max="10498" width="31.81640625" customWidth="1"/>
    <col min="10499" max="10501" width="10.1796875" bestFit="1" customWidth="1"/>
    <col min="10754" max="10754" width="31.81640625" customWidth="1"/>
    <col min="10755" max="10757" width="10.1796875" bestFit="1" customWidth="1"/>
    <col min="11010" max="11010" width="31.81640625" customWidth="1"/>
    <col min="11011" max="11013" width="10.1796875" bestFit="1" customWidth="1"/>
    <col min="11266" max="11266" width="31.81640625" customWidth="1"/>
    <col min="11267" max="11269" width="10.1796875" bestFit="1" customWidth="1"/>
    <col min="11522" max="11522" width="31.81640625" customWidth="1"/>
    <col min="11523" max="11525" width="10.1796875" bestFit="1" customWidth="1"/>
    <col min="11778" max="11778" width="31.81640625" customWidth="1"/>
    <col min="11779" max="11781" width="10.1796875" bestFit="1" customWidth="1"/>
    <col min="12034" max="12034" width="31.81640625" customWidth="1"/>
    <col min="12035" max="12037" width="10.1796875" bestFit="1" customWidth="1"/>
    <col min="12290" max="12290" width="31.81640625" customWidth="1"/>
    <col min="12291" max="12293" width="10.1796875" bestFit="1" customWidth="1"/>
    <col min="12546" max="12546" width="31.81640625" customWidth="1"/>
    <col min="12547" max="12549" width="10.1796875" bestFit="1" customWidth="1"/>
    <col min="12802" max="12802" width="31.81640625" customWidth="1"/>
    <col min="12803" max="12805" width="10.1796875" bestFit="1" customWidth="1"/>
    <col min="13058" max="13058" width="31.81640625" customWidth="1"/>
    <col min="13059" max="13061" width="10.1796875" bestFit="1" customWidth="1"/>
    <col min="13314" max="13314" width="31.81640625" customWidth="1"/>
    <col min="13315" max="13317" width="10.1796875" bestFit="1" customWidth="1"/>
    <col min="13570" max="13570" width="31.81640625" customWidth="1"/>
    <col min="13571" max="13573" width="10.1796875" bestFit="1" customWidth="1"/>
    <col min="13826" max="13826" width="31.81640625" customWidth="1"/>
    <col min="13827" max="13829" width="10.1796875" bestFit="1" customWidth="1"/>
    <col min="14082" max="14082" width="31.81640625" customWidth="1"/>
    <col min="14083" max="14085" width="10.1796875" bestFit="1" customWidth="1"/>
    <col min="14338" max="14338" width="31.81640625" customWidth="1"/>
    <col min="14339" max="14341" width="10.1796875" bestFit="1" customWidth="1"/>
    <col min="14594" max="14594" width="31.81640625" customWidth="1"/>
    <col min="14595" max="14597" width="10.1796875" bestFit="1" customWidth="1"/>
    <col min="14850" max="14850" width="31.81640625" customWidth="1"/>
    <col min="14851" max="14853" width="10.1796875" bestFit="1" customWidth="1"/>
    <col min="15106" max="15106" width="31.81640625" customWidth="1"/>
    <col min="15107" max="15109" width="10.1796875" bestFit="1" customWidth="1"/>
    <col min="15362" max="15362" width="31.81640625" customWidth="1"/>
    <col min="15363" max="15365" width="10.1796875" bestFit="1" customWidth="1"/>
    <col min="15618" max="15618" width="31.81640625" customWidth="1"/>
    <col min="15619" max="15621" width="10.1796875" bestFit="1" customWidth="1"/>
    <col min="15874" max="15874" width="31.81640625" customWidth="1"/>
    <col min="15875" max="15877" width="10.1796875" bestFit="1" customWidth="1"/>
    <col min="16130" max="16130" width="31.81640625" customWidth="1"/>
    <col min="16131" max="16133" width="10.1796875" bestFit="1" customWidth="1"/>
  </cols>
  <sheetData>
    <row r="1" spans="1:14" ht="13" x14ac:dyDescent="0.3">
      <c r="A1" s="919" t="s">
        <v>949</v>
      </c>
      <c r="B1" s="919"/>
      <c r="C1" s="919"/>
      <c r="D1" s="919"/>
      <c r="E1" s="919"/>
      <c r="F1" s="919"/>
      <c r="G1" s="8"/>
      <c r="H1" s="8"/>
      <c r="I1" s="8"/>
      <c r="J1" s="8"/>
      <c r="K1" s="8"/>
      <c r="L1" s="8"/>
      <c r="M1" s="8"/>
      <c r="N1" s="8"/>
    </row>
    <row r="2" spans="1:14" ht="13" x14ac:dyDescent="0.3">
      <c r="A2" s="919" t="s">
        <v>329</v>
      </c>
      <c r="B2" s="919"/>
      <c r="C2" s="919"/>
      <c r="D2" s="919"/>
      <c r="E2" s="919"/>
      <c r="F2" s="919"/>
      <c r="G2" s="8"/>
      <c r="H2" s="8"/>
      <c r="I2" s="8"/>
      <c r="J2" s="8"/>
      <c r="K2" s="8"/>
      <c r="L2" s="8"/>
      <c r="M2" s="8"/>
      <c r="N2" s="8"/>
    </row>
    <row r="3" spans="1:14" ht="13" x14ac:dyDescent="0.3">
      <c r="A3" s="8"/>
      <c r="B3" s="8"/>
      <c r="C3" s="8"/>
      <c r="D3" s="8"/>
      <c r="E3" s="89" t="s">
        <v>715</v>
      </c>
      <c r="F3" s="3"/>
      <c r="G3" s="8"/>
      <c r="H3" s="8"/>
      <c r="I3" s="8"/>
      <c r="J3" s="8"/>
      <c r="K3" s="8"/>
      <c r="L3" s="8"/>
      <c r="M3" s="8"/>
      <c r="N3" s="8"/>
    </row>
    <row r="4" spans="1:14" ht="13.5" thickBot="1" x14ac:dyDescent="0.35">
      <c r="A4" s="8"/>
      <c r="B4" s="8"/>
      <c r="C4" s="8"/>
      <c r="D4" s="3" t="s">
        <v>474</v>
      </c>
      <c r="E4" s="8"/>
      <c r="F4" s="3"/>
      <c r="G4" s="8"/>
      <c r="H4" s="8"/>
      <c r="I4" s="8"/>
      <c r="J4" s="8"/>
      <c r="K4" s="8"/>
      <c r="L4" s="8"/>
      <c r="M4" s="8"/>
      <c r="N4" s="8"/>
    </row>
    <row r="5" spans="1:14" ht="20.149999999999999" customHeight="1" thickBot="1" x14ac:dyDescent="0.35">
      <c r="A5" s="74"/>
      <c r="B5" s="90">
        <v>2024</v>
      </c>
      <c r="C5" s="90">
        <v>2025</v>
      </c>
      <c r="D5" s="90">
        <v>2026</v>
      </c>
      <c r="E5" s="90">
        <v>2027</v>
      </c>
      <c r="F5" s="8"/>
      <c r="G5" s="8"/>
      <c r="H5" s="8"/>
      <c r="I5" s="8"/>
      <c r="J5" s="8"/>
      <c r="K5" s="8"/>
      <c r="L5" s="8"/>
      <c r="M5" s="8"/>
      <c r="N5" s="8"/>
    </row>
    <row r="6" spans="1:14" ht="20.149999999999999" customHeight="1" x14ac:dyDescent="0.25">
      <c r="A6" s="10" t="s">
        <v>22</v>
      </c>
      <c r="B6" s="91">
        <f>Mérleg!C6</f>
        <v>1950217193</v>
      </c>
      <c r="C6" s="91">
        <v>2000000000</v>
      </c>
      <c r="D6" s="91">
        <f>C6</f>
        <v>2000000000</v>
      </c>
      <c r="E6" s="91">
        <f>D6</f>
        <v>2000000000</v>
      </c>
      <c r="F6" s="8"/>
      <c r="G6" s="8"/>
      <c r="H6" s="8"/>
      <c r="I6" s="8"/>
      <c r="J6" s="8"/>
      <c r="K6" s="8"/>
      <c r="L6" s="8"/>
      <c r="M6" s="8"/>
      <c r="N6" s="8"/>
    </row>
    <row r="7" spans="1:14" ht="20.149999999999999" customHeight="1" x14ac:dyDescent="0.25">
      <c r="A7" s="7" t="s">
        <v>25</v>
      </c>
      <c r="B7" s="92">
        <f>Mérleg!C7</f>
        <v>504057411</v>
      </c>
      <c r="C7" s="92">
        <v>250000000</v>
      </c>
      <c r="D7" s="92">
        <v>250000000</v>
      </c>
      <c r="E7" s="92">
        <v>250000000</v>
      </c>
      <c r="F7" s="8"/>
      <c r="G7" s="8"/>
      <c r="H7" s="8"/>
      <c r="I7" s="8"/>
      <c r="J7" s="8"/>
      <c r="K7" s="8"/>
      <c r="L7" s="8"/>
      <c r="M7" s="8"/>
      <c r="N7" s="8"/>
    </row>
    <row r="8" spans="1:14" ht="20.149999999999999" customHeight="1" x14ac:dyDescent="0.25">
      <c r="A8" s="7" t="s">
        <v>27</v>
      </c>
      <c r="B8" s="92">
        <f>Mérleg!C8</f>
        <v>8088100</v>
      </c>
      <c r="C8" s="92">
        <v>0</v>
      </c>
      <c r="D8" s="92">
        <v>0</v>
      </c>
      <c r="E8" s="92">
        <v>0</v>
      </c>
      <c r="F8" s="8"/>
      <c r="G8" s="8"/>
      <c r="H8" s="8"/>
      <c r="I8" s="8"/>
      <c r="J8" s="8"/>
      <c r="K8" s="8"/>
      <c r="L8" s="8"/>
      <c r="M8" s="8"/>
      <c r="N8" s="8"/>
    </row>
    <row r="9" spans="1:14" ht="20.149999999999999" customHeight="1" x14ac:dyDescent="0.25">
      <c r="A9" s="7" t="s">
        <v>249</v>
      </c>
      <c r="B9" s="92">
        <f>Mérleg!C9</f>
        <v>3812798896</v>
      </c>
      <c r="C9" s="92">
        <v>3850000000</v>
      </c>
      <c r="D9" s="92">
        <v>3850000000</v>
      </c>
      <c r="E9" s="92">
        <v>3850000000</v>
      </c>
      <c r="F9" s="8"/>
      <c r="G9" s="8"/>
      <c r="H9" s="8"/>
      <c r="I9" s="8"/>
      <c r="J9" s="8"/>
      <c r="K9" s="8"/>
      <c r="L9" s="8"/>
      <c r="M9" s="8"/>
      <c r="N9" s="8"/>
    </row>
    <row r="10" spans="1:14" ht="20.149999999999999" customHeight="1" thickBot="1" x14ac:dyDescent="0.3">
      <c r="A10" s="14" t="s">
        <v>250</v>
      </c>
      <c r="B10" s="93">
        <f>Mérleg!C11</f>
        <v>53922844</v>
      </c>
      <c r="C10" s="93">
        <v>54000000</v>
      </c>
      <c r="D10" s="93">
        <v>54000000</v>
      </c>
      <c r="E10" s="93">
        <v>54000000</v>
      </c>
      <c r="F10" s="8"/>
      <c r="G10" s="8"/>
      <c r="H10" s="8"/>
      <c r="I10" s="8"/>
      <c r="J10" s="8"/>
      <c r="K10" s="8"/>
      <c r="L10" s="8"/>
      <c r="M10" s="8"/>
      <c r="N10" s="8"/>
    </row>
    <row r="11" spans="1:14" ht="20.149999999999999" customHeight="1" thickBot="1" x14ac:dyDescent="0.35">
      <c r="A11" s="5" t="s">
        <v>34</v>
      </c>
      <c r="B11" s="12">
        <f>SUM(B6:B10)</f>
        <v>6329084444</v>
      </c>
      <c r="C11" s="12">
        <f>SUM(C6:C10)</f>
        <v>6154000000</v>
      </c>
      <c r="D11" s="12">
        <f>SUM(D6:D10)</f>
        <v>6154000000</v>
      </c>
      <c r="E11" s="12">
        <f>SUM(E6:E10)</f>
        <v>6154000000</v>
      </c>
      <c r="F11" s="8"/>
      <c r="G11" s="8"/>
      <c r="H11" s="8"/>
      <c r="I11" s="8"/>
      <c r="J11" s="8"/>
      <c r="K11" s="8"/>
      <c r="L11" s="8"/>
      <c r="M11" s="8"/>
      <c r="N11" s="8"/>
    </row>
    <row r="12" spans="1:14" ht="30" customHeight="1" x14ac:dyDescent="0.25">
      <c r="A12" s="383" t="s">
        <v>252</v>
      </c>
      <c r="B12" s="91">
        <f>Mérleg!C13</f>
        <v>680098509</v>
      </c>
      <c r="C12" s="91">
        <v>300000000</v>
      </c>
      <c r="D12" s="91">
        <v>300000000</v>
      </c>
      <c r="E12" s="91">
        <v>300000000</v>
      </c>
      <c r="F12" s="8"/>
      <c r="G12" s="8"/>
      <c r="H12" s="8"/>
      <c r="I12" s="8"/>
      <c r="J12" s="8"/>
      <c r="K12" s="8"/>
      <c r="L12" s="8"/>
      <c r="M12" s="8"/>
      <c r="N12" s="8"/>
    </row>
    <row r="13" spans="1:14" ht="20.149999999999999" customHeight="1" x14ac:dyDescent="0.25">
      <c r="A13" s="7" t="s">
        <v>26</v>
      </c>
      <c r="B13" s="92">
        <f>Mérleg!C14</f>
        <v>1819429375</v>
      </c>
      <c r="C13" s="92">
        <v>450000000</v>
      </c>
      <c r="D13" s="92">
        <v>450000000</v>
      </c>
      <c r="E13" s="92">
        <v>450000000</v>
      </c>
      <c r="F13" s="8"/>
      <c r="G13" s="8"/>
      <c r="H13" s="8"/>
      <c r="I13" s="8"/>
      <c r="J13" s="8"/>
      <c r="K13" s="8"/>
      <c r="L13" s="8"/>
      <c r="M13" s="8"/>
      <c r="N13" s="8"/>
    </row>
    <row r="14" spans="1:14" ht="20.149999999999999" customHeight="1" x14ac:dyDescent="0.25">
      <c r="A14" s="7" t="s">
        <v>29</v>
      </c>
      <c r="B14" s="92">
        <f>Mérleg!C15</f>
        <v>2340000</v>
      </c>
      <c r="C14" s="92">
        <v>5000000</v>
      </c>
      <c r="D14" s="92">
        <v>5000000</v>
      </c>
      <c r="E14" s="92">
        <v>5000000</v>
      </c>
      <c r="F14" s="8"/>
      <c r="G14" s="8"/>
      <c r="H14" s="8"/>
      <c r="I14" s="8"/>
      <c r="J14" s="8"/>
      <c r="K14" s="8"/>
      <c r="L14" s="8"/>
      <c r="M14" s="8"/>
      <c r="N14" s="8"/>
    </row>
    <row r="15" spans="1:14" ht="20.149999999999999" customHeight="1" thickBot="1" x14ac:dyDescent="0.3">
      <c r="A15" s="13" t="s">
        <v>30</v>
      </c>
      <c r="B15" s="69">
        <f>Mérleg!C16</f>
        <v>34600000</v>
      </c>
      <c r="C15" s="69">
        <f>B15</f>
        <v>34600000</v>
      </c>
      <c r="D15" s="69">
        <f t="shared" ref="D15:E15" si="0">C15</f>
        <v>34600000</v>
      </c>
      <c r="E15" s="69">
        <f t="shared" si="0"/>
        <v>34600000</v>
      </c>
      <c r="F15" s="8"/>
      <c r="G15" s="8"/>
      <c r="H15" s="8"/>
      <c r="I15" s="8"/>
      <c r="J15" s="8"/>
      <c r="K15" s="8"/>
      <c r="L15" s="8"/>
      <c r="M15" s="8"/>
      <c r="N15" s="8"/>
    </row>
    <row r="16" spans="1:14" ht="20.149999999999999" customHeight="1" thickBot="1" x14ac:dyDescent="0.35">
      <c r="A16" s="5" t="s">
        <v>41</v>
      </c>
      <c r="B16" s="12">
        <f>SUM(B12:B15)</f>
        <v>2536467884</v>
      </c>
      <c r="C16" s="12">
        <f>SUM(C12:C15)</f>
        <v>789600000</v>
      </c>
      <c r="D16" s="12">
        <f>SUM(D12:D15)</f>
        <v>789600000</v>
      </c>
      <c r="E16" s="12">
        <f>SUM(E12:E15)</f>
        <v>789600000</v>
      </c>
      <c r="F16" s="8"/>
      <c r="G16" s="8"/>
      <c r="H16" s="8"/>
      <c r="I16" s="8"/>
      <c r="J16" s="8"/>
      <c r="K16" s="8"/>
      <c r="L16" s="8"/>
      <c r="M16" s="8"/>
      <c r="N16" s="8"/>
    </row>
    <row r="17" spans="1:14" ht="20.149999999999999" customHeight="1" x14ac:dyDescent="0.25">
      <c r="A17" s="10" t="s">
        <v>37</v>
      </c>
      <c r="B17" s="91"/>
      <c r="C17" s="91"/>
      <c r="D17" s="91"/>
      <c r="E17" s="91"/>
      <c r="F17" s="8"/>
      <c r="G17" s="8"/>
      <c r="H17" s="8"/>
      <c r="I17" s="8"/>
      <c r="J17" s="8"/>
      <c r="K17" s="8"/>
      <c r="L17" s="8"/>
      <c r="M17" s="8"/>
      <c r="N17" s="8"/>
    </row>
    <row r="18" spans="1:14" ht="20.149999999999999" customHeight="1" x14ac:dyDescent="0.3">
      <c r="A18" s="273" t="s">
        <v>38</v>
      </c>
      <c r="B18" s="92">
        <f>Mérleg!C19</f>
        <v>4600000000</v>
      </c>
      <c r="C18" s="92">
        <f>Mérleg!D19</f>
        <v>4448530600</v>
      </c>
      <c r="D18" s="92">
        <f t="shared" ref="D18:E21" si="1">C18</f>
        <v>4448530600</v>
      </c>
      <c r="E18" s="92">
        <f t="shared" si="1"/>
        <v>4448530600</v>
      </c>
      <c r="F18" s="8"/>
      <c r="G18" s="8"/>
      <c r="H18" s="8"/>
      <c r="I18" s="8"/>
      <c r="J18" s="8"/>
      <c r="K18" s="8"/>
      <c r="L18" s="8"/>
      <c r="M18" s="8"/>
      <c r="N18" s="8"/>
    </row>
    <row r="19" spans="1:14" ht="20.149999999999999" customHeight="1" x14ac:dyDescent="0.25">
      <c r="A19" s="7" t="s">
        <v>39</v>
      </c>
      <c r="B19" s="92">
        <f>Mérleg!C20</f>
        <v>1000000000</v>
      </c>
      <c r="C19" s="92">
        <f>Mérleg!D20</f>
        <v>1000000000</v>
      </c>
      <c r="D19" s="92">
        <f t="shared" si="1"/>
        <v>1000000000</v>
      </c>
      <c r="E19" s="92">
        <f t="shared" si="1"/>
        <v>1000000000</v>
      </c>
      <c r="F19" s="8"/>
      <c r="G19" s="8"/>
      <c r="H19" s="8"/>
      <c r="I19" s="8"/>
      <c r="J19" s="8"/>
      <c r="K19" s="8"/>
      <c r="L19" s="8"/>
      <c r="M19" s="8"/>
      <c r="N19" s="8"/>
    </row>
    <row r="20" spans="1:14" ht="20.149999999999999" customHeight="1" x14ac:dyDescent="0.25">
      <c r="A20" s="7" t="s">
        <v>40</v>
      </c>
      <c r="B20" s="92">
        <f>Mérleg!C21</f>
        <v>56000000</v>
      </c>
      <c r="C20" s="92">
        <f>Mérleg!D21</f>
        <v>56000000</v>
      </c>
      <c r="D20" s="92">
        <f t="shared" si="1"/>
        <v>56000000</v>
      </c>
      <c r="E20" s="92">
        <f t="shared" si="1"/>
        <v>56000000</v>
      </c>
      <c r="F20" s="8"/>
      <c r="G20" s="8"/>
      <c r="H20" s="8"/>
      <c r="I20" s="8"/>
      <c r="J20" s="8"/>
      <c r="K20" s="8"/>
      <c r="L20" s="8"/>
      <c r="M20" s="8"/>
      <c r="N20" s="8"/>
    </row>
    <row r="21" spans="1:14" ht="20.149999999999999" customHeight="1" x14ac:dyDescent="0.25">
      <c r="A21" s="13" t="s">
        <v>42</v>
      </c>
      <c r="B21" s="92">
        <f>Mérleg!C22</f>
        <v>50000000</v>
      </c>
      <c r="C21" s="69">
        <f>Mérleg!D22</f>
        <v>50000000</v>
      </c>
      <c r="D21" s="69">
        <f t="shared" si="1"/>
        <v>50000000</v>
      </c>
      <c r="E21" s="69">
        <f t="shared" si="1"/>
        <v>50000000</v>
      </c>
      <c r="F21" s="8"/>
      <c r="G21" s="8"/>
      <c r="H21" s="8"/>
      <c r="I21" s="8"/>
      <c r="J21" s="8"/>
      <c r="K21" s="8"/>
      <c r="L21" s="8"/>
      <c r="M21" s="8"/>
      <c r="N21" s="8"/>
    </row>
    <row r="22" spans="1:14" ht="20.149999999999999" customHeight="1" x14ac:dyDescent="0.25">
      <c r="A22" s="13" t="s">
        <v>43</v>
      </c>
      <c r="B22" s="92">
        <f>Mérleg!C23</f>
        <v>0</v>
      </c>
      <c r="C22" s="69">
        <f>Mérleg!D23</f>
        <v>0</v>
      </c>
      <c r="D22" s="69">
        <v>0</v>
      </c>
      <c r="E22" s="69">
        <v>0</v>
      </c>
      <c r="F22" s="8"/>
      <c r="G22" s="8"/>
      <c r="H22" s="8"/>
      <c r="I22" s="8"/>
      <c r="J22" s="8"/>
      <c r="K22" s="8"/>
      <c r="L22" s="8"/>
      <c r="M22" s="8"/>
      <c r="N22" s="8"/>
    </row>
    <row r="23" spans="1:14" ht="20.149999999999999" customHeight="1" x14ac:dyDescent="0.25">
      <c r="A23" s="13" t="s">
        <v>44</v>
      </c>
      <c r="B23" s="92">
        <f>Mérleg!C24</f>
        <v>500000</v>
      </c>
      <c r="C23" s="69">
        <f>Mérleg!D24</f>
        <v>500000</v>
      </c>
      <c r="D23" s="69">
        <v>500000</v>
      </c>
      <c r="E23" s="69">
        <v>500000</v>
      </c>
      <c r="F23" s="8"/>
      <c r="G23" s="8"/>
      <c r="H23" s="8"/>
      <c r="I23" s="8"/>
      <c r="J23" s="8"/>
      <c r="K23" s="8"/>
      <c r="L23" s="8"/>
      <c r="M23" s="8"/>
      <c r="N23" s="8"/>
    </row>
    <row r="24" spans="1:14" ht="20.149999999999999" customHeight="1" x14ac:dyDescent="0.25">
      <c r="A24" s="13" t="s">
        <v>45</v>
      </c>
      <c r="B24" s="69">
        <f>Mérleg!C25</f>
        <v>700000000</v>
      </c>
      <c r="C24" s="69">
        <f>1411185565+18184400-18800000</f>
        <v>1410569965</v>
      </c>
      <c r="D24" s="69">
        <f>1901881132+18184400-18800000</f>
        <v>1901265532</v>
      </c>
      <c r="E24" s="69">
        <f>2433197566+18184400-18800000</f>
        <v>2432581966</v>
      </c>
      <c r="F24" s="8"/>
      <c r="G24" s="8"/>
      <c r="H24" s="8"/>
      <c r="I24" s="8"/>
      <c r="J24" s="8"/>
      <c r="K24" s="8"/>
      <c r="L24" s="8"/>
      <c r="M24" s="8"/>
      <c r="N24" s="8"/>
    </row>
    <row r="25" spans="1:14" ht="30.75" customHeight="1" thickBot="1" x14ac:dyDescent="0.3">
      <c r="A25" s="314" t="s">
        <v>384</v>
      </c>
      <c r="B25" s="93">
        <f>Mérleg!C26</f>
        <v>27281453</v>
      </c>
      <c r="C25" s="93">
        <v>20000000</v>
      </c>
      <c r="D25" s="93">
        <v>20000000</v>
      </c>
      <c r="E25" s="93">
        <v>20000000</v>
      </c>
      <c r="F25" s="8"/>
      <c r="G25" s="8"/>
      <c r="H25" s="8"/>
      <c r="I25" s="8"/>
      <c r="J25" s="8"/>
      <c r="K25" s="8"/>
      <c r="L25" s="8"/>
      <c r="M25" s="8"/>
      <c r="N25" s="8"/>
    </row>
    <row r="26" spans="1:14" ht="20.149999999999999" customHeight="1" thickBot="1" x14ac:dyDescent="0.35">
      <c r="A26" s="5" t="s">
        <v>35</v>
      </c>
      <c r="B26" s="12">
        <f>B11+B16+B18+B19+B20+B21+B22+B23+B24+B25</f>
        <v>15299333781</v>
      </c>
      <c r="C26" s="12">
        <f>C11+C16+C18+C19+C20+C21+C22+C23+C24+C25</f>
        <v>13929200565</v>
      </c>
      <c r="D26" s="12">
        <f>D11+D16+D18+D19+D20+D21+D22+D23+D24+D25</f>
        <v>14419896132</v>
      </c>
      <c r="E26" s="12">
        <f>E11+E16+E18+E19+E20+E21+E22+E23+E24+E25</f>
        <v>14951212566</v>
      </c>
      <c r="F26" s="8"/>
      <c r="G26" s="8"/>
      <c r="H26" s="8"/>
      <c r="I26" s="8"/>
      <c r="J26" s="8"/>
      <c r="K26" s="8"/>
      <c r="L26" s="8"/>
      <c r="M26" s="8"/>
      <c r="N26" s="8"/>
    </row>
    <row r="27" spans="1:14" ht="30" customHeight="1" thickBot="1" x14ac:dyDescent="0.3">
      <c r="A27" s="352" t="s">
        <v>289</v>
      </c>
      <c r="B27" s="16">
        <f>Mérleg!C30</f>
        <v>132053794</v>
      </c>
      <c r="C27" s="16">
        <f>B27*1.03</f>
        <v>136015407.81999999</v>
      </c>
      <c r="D27" s="16">
        <f>C27*1.03</f>
        <v>140095870.0546</v>
      </c>
      <c r="E27" s="16">
        <f>D27*1.03</f>
        <v>144298746.15623799</v>
      </c>
      <c r="F27" s="8"/>
      <c r="G27" s="8"/>
      <c r="H27" s="8"/>
      <c r="I27" s="8"/>
      <c r="J27" s="8"/>
      <c r="K27" s="8"/>
      <c r="L27" s="8"/>
      <c r="M27" s="8"/>
      <c r="N27" s="8"/>
    </row>
    <row r="28" spans="1:14" ht="23.5" customHeight="1" thickBot="1" x14ac:dyDescent="0.3">
      <c r="A28" s="352" t="s">
        <v>441</v>
      </c>
      <c r="B28" s="16">
        <f>Mérleg!C28</f>
        <v>248900000</v>
      </c>
      <c r="C28" s="16">
        <v>0</v>
      </c>
      <c r="D28" s="16">
        <v>0</v>
      </c>
      <c r="E28" s="16">
        <v>0</v>
      </c>
      <c r="F28" s="8"/>
      <c r="G28" s="8"/>
      <c r="H28" s="8"/>
      <c r="I28" s="8"/>
      <c r="J28" s="8"/>
      <c r="K28" s="8"/>
      <c r="L28" s="8"/>
      <c r="M28" s="8"/>
      <c r="N28" s="8"/>
    </row>
    <row r="29" spans="1:14" ht="23.5" customHeight="1" thickBot="1" x14ac:dyDescent="0.3">
      <c r="A29" s="352" t="s">
        <v>786</v>
      </c>
      <c r="B29" s="16">
        <f>Mérleg!C31</f>
        <v>500000000</v>
      </c>
      <c r="C29" s="16">
        <v>500000000</v>
      </c>
      <c r="D29" s="16">
        <v>500000000</v>
      </c>
      <c r="E29" s="16">
        <v>500000000</v>
      </c>
      <c r="F29" s="8"/>
      <c r="G29" s="8"/>
      <c r="H29" s="8"/>
      <c r="I29" s="8"/>
      <c r="J29" s="8"/>
      <c r="K29" s="8"/>
      <c r="L29" s="8"/>
      <c r="M29" s="8"/>
      <c r="N29" s="8"/>
    </row>
    <row r="30" spans="1:14" ht="20.149999999999999" customHeight="1" thickBot="1" x14ac:dyDescent="0.35">
      <c r="A30" s="5" t="s">
        <v>281</v>
      </c>
      <c r="B30" s="11">
        <v>0</v>
      </c>
      <c r="C30" s="11">
        <v>0</v>
      </c>
      <c r="D30" s="11">
        <v>0</v>
      </c>
      <c r="E30" s="11">
        <v>0</v>
      </c>
      <c r="F30" s="8"/>
      <c r="G30" s="8"/>
      <c r="H30" s="8"/>
      <c r="I30" s="8"/>
      <c r="J30" s="8"/>
      <c r="K30" s="8"/>
      <c r="L30" s="8"/>
      <c r="M30" s="8"/>
      <c r="N30" s="8"/>
    </row>
    <row r="31" spans="1:14" ht="20.149999999999999" customHeight="1" thickBot="1" x14ac:dyDescent="0.35">
      <c r="A31" s="5" t="s">
        <v>46</v>
      </c>
      <c r="B31" s="11">
        <f>B26+B27+B30+B28+B29</f>
        <v>16180287575</v>
      </c>
      <c r="C31" s="11">
        <f>C26+C27</f>
        <v>14065215972.82</v>
      </c>
      <c r="D31" s="11">
        <f>D26+D27+D28+D30</f>
        <v>14559992002.0546</v>
      </c>
      <c r="E31" s="11">
        <f>E26+E27+E30</f>
        <v>15095511312.156239</v>
      </c>
      <c r="F31" s="8"/>
      <c r="G31" s="8"/>
      <c r="H31" s="8"/>
      <c r="I31" s="8"/>
      <c r="J31" s="8"/>
      <c r="K31" s="8"/>
      <c r="L31" s="8"/>
      <c r="M31" s="8"/>
      <c r="N31" s="8"/>
    </row>
    <row r="32" spans="1:14" ht="20.149999999999999" customHeight="1" thickBot="1" x14ac:dyDescent="0.3">
      <c r="A32" s="94"/>
      <c r="B32" s="95">
        <f>B31-Mérleg!C34</f>
        <v>0</v>
      </c>
      <c r="C32" s="95"/>
      <c r="D32" s="95"/>
      <c r="E32" s="95"/>
      <c r="F32" s="8"/>
      <c r="G32" s="8"/>
      <c r="H32" s="8"/>
      <c r="I32" s="8"/>
      <c r="J32" s="8"/>
      <c r="K32" s="8"/>
      <c r="L32" s="8"/>
      <c r="M32" s="8"/>
      <c r="N32" s="8"/>
    </row>
    <row r="33" spans="1:14" ht="20.149999999999999" customHeight="1" thickBot="1" x14ac:dyDescent="0.35">
      <c r="A33" s="74" t="s">
        <v>21</v>
      </c>
      <c r="B33" s="90">
        <v>2024</v>
      </c>
      <c r="C33" s="90">
        <v>2025</v>
      </c>
      <c r="D33" s="90">
        <v>2026</v>
      </c>
      <c r="E33" s="90">
        <v>2027</v>
      </c>
      <c r="F33" s="8"/>
      <c r="G33" s="8"/>
      <c r="H33" s="8"/>
      <c r="I33" s="8"/>
      <c r="J33" s="8"/>
      <c r="K33" s="8"/>
      <c r="L33" s="8"/>
      <c r="M33" s="8"/>
      <c r="N33" s="8"/>
    </row>
    <row r="34" spans="1:14" ht="20.149999999999999" customHeight="1" x14ac:dyDescent="0.25">
      <c r="A34" s="96" t="s">
        <v>63</v>
      </c>
      <c r="B34" s="77">
        <f>'Működési kiadások'!E38+'Működési kiadások'!E169+'Működési kiadások'!E197+'Működési kiadások'!E216</f>
        <v>3447382760</v>
      </c>
      <c r="C34" s="77">
        <v>3620678625</v>
      </c>
      <c r="D34" s="77">
        <f t="shared" ref="D34:E35" si="2">C34*1.03</f>
        <v>3729298983.75</v>
      </c>
      <c r="E34" s="77">
        <f t="shared" si="2"/>
        <v>3841177953.2625003</v>
      </c>
      <c r="F34" s="8"/>
      <c r="G34" s="8"/>
      <c r="H34" s="8"/>
      <c r="I34" s="8"/>
      <c r="J34" s="8"/>
      <c r="K34" s="8"/>
      <c r="L34" s="8"/>
      <c r="M34" s="8"/>
      <c r="N34" s="8"/>
    </row>
    <row r="35" spans="1:14" ht="20.149999999999999" customHeight="1" x14ac:dyDescent="0.25">
      <c r="A35" s="17" t="s">
        <v>64</v>
      </c>
      <c r="B35" s="9">
        <f>'Működési kiadások'!F216+'Működési kiadások'!F197+'Működési kiadások'!F169+'Működési kiadások'!F38</f>
        <v>509195527</v>
      </c>
      <c r="C35" s="9">
        <v>402506940</v>
      </c>
      <c r="D35" s="9">
        <f t="shared" si="2"/>
        <v>414582148.19999999</v>
      </c>
      <c r="E35" s="9">
        <f t="shared" si="2"/>
        <v>427019612.64600003</v>
      </c>
      <c r="F35" s="8"/>
      <c r="G35" s="8"/>
      <c r="H35" s="8"/>
      <c r="I35" s="8"/>
      <c r="J35" s="8"/>
      <c r="K35" s="8"/>
      <c r="L35" s="8"/>
      <c r="M35" s="8"/>
      <c r="N35" s="8"/>
    </row>
    <row r="36" spans="1:14" ht="20.149999999999999" customHeight="1" x14ac:dyDescent="0.25">
      <c r="A36" s="17" t="s">
        <v>65</v>
      </c>
      <c r="B36" s="9">
        <f>'Működési kiadások'!G38+'Működési kiadások'!G169+'Működési kiadások'!G197+'Működési kiadások'!G216-Mérleg!L13-1</f>
        <v>3674673050</v>
      </c>
      <c r="C36" s="9">
        <v>3700000000</v>
      </c>
      <c r="D36" s="9">
        <f>C36*1.1</f>
        <v>4070000000.0000005</v>
      </c>
      <c r="E36" s="9">
        <f>D36*1.1</f>
        <v>4477000000.000001</v>
      </c>
      <c r="F36" s="8"/>
      <c r="G36" s="8"/>
      <c r="H36" s="8"/>
      <c r="I36" s="8"/>
      <c r="J36" s="8"/>
      <c r="K36" s="8"/>
      <c r="L36" s="8"/>
      <c r="M36" s="8"/>
      <c r="N36" s="8"/>
    </row>
    <row r="37" spans="1:14" ht="20.149999999999999" customHeight="1" x14ac:dyDescent="0.25">
      <c r="A37" s="97" t="s">
        <v>123</v>
      </c>
      <c r="B37" s="9">
        <f>'Működési kiadások'!J216+'Működési kiadások'!J197+'Működési kiadások'!J169+'Működési kiadások'!J38</f>
        <v>51900000</v>
      </c>
      <c r="C37" s="9">
        <v>52000000</v>
      </c>
      <c r="D37" s="9">
        <v>52000000</v>
      </c>
      <c r="E37" s="9">
        <v>52000000</v>
      </c>
      <c r="F37" s="8"/>
      <c r="G37" s="8"/>
      <c r="H37" s="8"/>
      <c r="I37" s="8"/>
      <c r="J37" s="8"/>
      <c r="K37" s="8"/>
      <c r="L37" s="8"/>
      <c r="M37" s="8"/>
      <c r="N37" s="8"/>
    </row>
    <row r="38" spans="1:14" ht="20.149999999999999" customHeight="1" x14ac:dyDescent="0.25">
      <c r="A38" s="97" t="s">
        <v>124</v>
      </c>
      <c r="B38" s="92">
        <f>'Működési kiadások'!H38+'Működési kiadások'!H169+'Működési kiadások'!H197+'Működési kiadások'!H216</f>
        <v>2567990897</v>
      </c>
      <c r="C38" s="9">
        <v>2500000000</v>
      </c>
      <c r="D38" s="9">
        <f>C38</f>
        <v>2500000000</v>
      </c>
      <c r="E38" s="9">
        <f>D38</f>
        <v>2500000000</v>
      </c>
      <c r="F38" s="8"/>
      <c r="G38" s="8"/>
      <c r="H38" s="8"/>
      <c r="I38" s="8"/>
      <c r="J38" s="8"/>
      <c r="K38" s="8"/>
      <c r="L38" s="8"/>
      <c r="M38" s="8"/>
      <c r="N38" s="8"/>
    </row>
    <row r="39" spans="1:14" ht="20.149999999999999" customHeight="1" x14ac:dyDescent="0.25">
      <c r="A39" s="97" t="s">
        <v>125</v>
      </c>
      <c r="B39" s="9">
        <f>'Működési kiadások'!I216+'Működési kiadások'!I197+'Működési kiadások'!I169+'Működési kiadások'!I38</f>
        <v>1247270775</v>
      </c>
      <c r="C39" s="9">
        <f>1150000000-90500000</f>
        <v>1059500000</v>
      </c>
      <c r="D39" s="9">
        <f>1150000000-90500000</f>
        <v>1059500000</v>
      </c>
      <c r="E39" s="9">
        <f>1150000000-90500000</f>
        <v>1059500000</v>
      </c>
      <c r="F39" s="8"/>
      <c r="G39" s="8"/>
      <c r="H39" s="8"/>
      <c r="I39" s="8"/>
      <c r="J39" s="8"/>
      <c r="K39" s="8"/>
      <c r="L39" s="8"/>
      <c r="M39" s="8"/>
      <c r="N39" s="8"/>
    </row>
    <row r="40" spans="1:14" ht="20.149999999999999" customHeight="1" x14ac:dyDescent="0.25">
      <c r="A40" s="97" t="s">
        <v>126</v>
      </c>
      <c r="B40" s="9">
        <f>'Működési kiadások'!L109</f>
        <v>0</v>
      </c>
      <c r="C40" s="9">
        <v>0</v>
      </c>
      <c r="D40" s="9">
        <v>0</v>
      </c>
      <c r="E40" s="9">
        <v>0</v>
      </c>
      <c r="F40" s="8"/>
      <c r="G40" s="8"/>
      <c r="H40" s="8"/>
      <c r="I40" s="8"/>
      <c r="J40" s="8"/>
      <c r="K40" s="8"/>
      <c r="L40" s="8"/>
      <c r="M40" s="8"/>
      <c r="N40" s="8"/>
    </row>
    <row r="41" spans="1:14" ht="20.149999999999999" customHeight="1" x14ac:dyDescent="0.25">
      <c r="A41" s="97" t="s">
        <v>127</v>
      </c>
      <c r="B41" s="9">
        <f>'Felhalmozási kiadások'!I105</f>
        <v>4245269919</v>
      </c>
      <c r="C41" s="9">
        <v>2000000000</v>
      </c>
      <c r="D41" s="9">
        <v>2000000000</v>
      </c>
      <c r="E41" s="9">
        <v>2000000000</v>
      </c>
      <c r="F41" s="8"/>
      <c r="G41" s="8"/>
      <c r="H41" s="8"/>
      <c r="I41" s="8"/>
      <c r="J41" s="8"/>
      <c r="K41" s="8"/>
      <c r="L41" s="8"/>
      <c r="M41" s="8"/>
      <c r="N41" s="8"/>
    </row>
    <row r="42" spans="1:14" ht="20.149999999999999" customHeight="1" x14ac:dyDescent="0.25">
      <c r="A42" s="97" t="s">
        <v>128</v>
      </c>
      <c r="B42" s="9">
        <f>Mérleg!L13</f>
        <v>1580000</v>
      </c>
      <c r="C42" s="9">
        <v>1500000</v>
      </c>
      <c r="D42" s="9">
        <v>1500000</v>
      </c>
      <c r="E42" s="9">
        <v>1500000</v>
      </c>
      <c r="F42" s="8"/>
      <c r="G42" s="8"/>
      <c r="H42" s="8"/>
      <c r="I42" s="8"/>
      <c r="J42" s="8"/>
      <c r="K42" s="8"/>
      <c r="L42" s="8"/>
      <c r="M42" s="8"/>
      <c r="N42" s="8"/>
    </row>
    <row r="43" spans="1:14" ht="20.149999999999999" customHeight="1" x14ac:dyDescent="0.25">
      <c r="A43" s="97" t="s">
        <v>66</v>
      </c>
      <c r="B43" s="9">
        <v>0</v>
      </c>
      <c r="C43" s="9">
        <v>0</v>
      </c>
      <c r="D43" s="9">
        <v>0</v>
      </c>
      <c r="E43" s="9">
        <v>0</v>
      </c>
      <c r="F43" s="8"/>
      <c r="G43" s="8"/>
      <c r="H43" s="8"/>
      <c r="I43" s="8"/>
      <c r="J43" s="8"/>
      <c r="K43" s="8"/>
      <c r="L43" s="8"/>
      <c r="M43" s="8"/>
      <c r="N43" s="8"/>
    </row>
    <row r="44" spans="1:14" ht="20.149999999999999" customHeight="1" x14ac:dyDescent="0.25">
      <c r="A44" s="97" t="s">
        <v>132</v>
      </c>
      <c r="B44" s="9">
        <f>'Működési kiadások'!K216+'Működési kiadások'!K197+'Működési kiadások'!K169+'Működési kiadások'!K18</f>
        <v>302970855</v>
      </c>
      <c r="C44" s="9">
        <f>600000000-6985000</f>
        <v>593015000</v>
      </c>
      <c r="D44" s="9">
        <f>600000000-6985000</f>
        <v>593015000</v>
      </c>
      <c r="E44" s="9">
        <f>600000000-6985000</f>
        <v>593015000</v>
      </c>
      <c r="F44" s="8"/>
      <c r="G44" s="8"/>
      <c r="H44" s="8"/>
      <c r="I44" s="8"/>
      <c r="J44" s="8"/>
      <c r="K44" s="8"/>
      <c r="L44" s="8"/>
      <c r="M44" s="8"/>
      <c r="N44" s="8"/>
    </row>
    <row r="45" spans="1:14" ht="33.75" customHeight="1" thickBot="1" x14ac:dyDescent="0.3">
      <c r="A45" s="272" t="s">
        <v>289</v>
      </c>
      <c r="B45" s="303">
        <f>'Működési kiadások'!L105</f>
        <v>132053794</v>
      </c>
      <c r="C45" s="303">
        <f>C27</f>
        <v>136015407.81999999</v>
      </c>
      <c r="D45" s="303">
        <f>D27</f>
        <v>140095870.0546</v>
      </c>
      <c r="E45" s="303">
        <f>E27</f>
        <v>144298746.15623799</v>
      </c>
      <c r="F45" s="8"/>
      <c r="G45" s="8"/>
      <c r="H45" s="8"/>
      <c r="I45" s="8"/>
      <c r="J45" s="8"/>
      <c r="K45" s="8"/>
      <c r="L45" s="8"/>
      <c r="M45" s="8"/>
      <c r="N45" s="8"/>
    </row>
    <row r="46" spans="1:14" ht="20.149999999999999" customHeight="1" thickBot="1" x14ac:dyDescent="0.35">
      <c r="A46" s="11" t="s">
        <v>133</v>
      </c>
      <c r="B46" s="11">
        <f>SUM(B34:B45)-1</f>
        <v>16180287576</v>
      </c>
      <c r="C46" s="11">
        <f>SUM(C34:C45)</f>
        <v>14065215972.82</v>
      </c>
      <c r="D46" s="11">
        <f>SUM(D34:D45)</f>
        <v>14559992002.004601</v>
      </c>
      <c r="E46" s="11">
        <f>SUM(E34:E45)</f>
        <v>15095511312.064739</v>
      </c>
      <c r="F46" s="8"/>
      <c r="G46" s="8"/>
      <c r="H46" s="8"/>
      <c r="I46" s="8"/>
      <c r="J46" s="8"/>
      <c r="K46" s="8"/>
      <c r="L46" s="8"/>
      <c r="M46" s="8"/>
      <c r="N46" s="8"/>
    </row>
    <row r="47" spans="1:14" x14ac:dyDescent="0.25">
      <c r="A47" s="8"/>
      <c r="B47" s="87">
        <v>0</v>
      </c>
      <c r="C47" s="87">
        <f>C31-C46</f>
        <v>0</v>
      </c>
      <c r="D47" s="87">
        <f>D31-D46</f>
        <v>4.9999237060546875E-2</v>
      </c>
      <c r="E47" s="87">
        <f>E31-E46</f>
        <v>9.149932861328125E-2</v>
      </c>
      <c r="F47" s="8"/>
      <c r="G47" s="8"/>
      <c r="H47" s="8"/>
      <c r="I47" s="8"/>
      <c r="J47" s="8"/>
      <c r="K47" s="8"/>
      <c r="L47" s="8"/>
      <c r="M47" s="8"/>
      <c r="N47" s="8"/>
    </row>
    <row r="48" spans="1:14" x14ac:dyDescent="0.25">
      <c r="A48" s="390"/>
      <c r="B48" s="391">
        <f>B46-B31</f>
        <v>1</v>
      </c>
      <c r="C48" s="87"/>
      <c r="D48" s="87"/>
      <c r="E48" s="87"/>
      <c r="F48" s="390"/>
      <c r="G48" s="8"/>
      <c r="H48" s="8"/>
      <c r="I48" s="8"/>
      <c r="J48" s="8"/>
      <c r="K48" s="8"/>
      <c r="L48" s="8"/>
      <c r="M48" s="8"/>
      <c r="N48" s="8"/>
    </row>
    <row r="49" spans="1:14" x14ac:dyDescent="0.25">
      <c r="A49" s="8"/>
      <c r="B49" s="8"/>
      <c r="C49" s="87"/>
      <c r="D49" s="87"/>
      <c r="E49" s="87"/>
      <c r="F49" s="8"/>
      <c r="G49" s="8"/>
      <c r="H49" s="8"/>
      <c r="I49" s="8"/>
      <c r="J49" s="8"/>
      <c r="K49" s="8"/>
      <c r="L49" s="8"/>
      <c r="M49" s="8"/>
      <c r="N49" s="8"/>
    </row>
    <row r="50" spans="1:14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1:14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1:14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1:14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1:14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1:14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1:14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1:14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1:14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1:14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1:14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1:14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1:14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1:14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1:14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4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1:14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1:14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1:14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1:14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1:14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1:14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1:14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1:14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4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</row>
    <row r="81" spans="1:14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</row>
    <row r="82" spans="1:14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</row>
    <row r="83" spans="1:14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</row>
    <row r="84" spans="1:14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</row>
    <row r="85" spans="1:14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</row>
    <row r="86" spans="1:14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</row>
    <row r="87" spans="1:14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1:14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</row>
    <row r="89" spans="1:14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</row>
    <row r="90" spans="1:14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</row>
    <row r="91" spans="1:14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</row>
    <row r="92" spans="1:14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</row>
    <row r="93" spans="1:14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</row>
    <row r="94" spans="1:14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</row>
    <row r="95" spans="1:14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</row>
    <row r="96" spans="1:14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</row>
    <row r="97" spans="1:14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</row>
    <row r="98" spans="1:14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1:14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</row>
    <row r="100" spans="1:14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</row>
    <row r="101" spans="1:14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</row>
    <row r="102" spans="1:14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1:14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1:14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1:14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1:14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1:14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1:14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1:14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1:14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1:14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1:14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1:14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1:14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1:14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1:14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1:14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1:14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1:14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1:14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1:14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1:14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1:14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1:14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1:14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1:14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1:14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1:14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1:14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1:14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1:14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1:14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1:14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1:14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1:14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1:14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1:14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1:14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1:14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1:14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1:14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1:14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1:14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1:14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  <row r="145" spans="1:14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1:14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7" spans="1:14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1:14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1:14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1:14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1:14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</row>
    <row r="152" spans="1:14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</row>
    <row r="153" spans="1:14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</row>
    <row r="154" spans="1:14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1:14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</row>
    <row r="156" spans="1:14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</row>
    <row r="157" spans="1:14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  <row r="158" spans="1:14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1:14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1:14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1:14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1:14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</row>
    <row r="163" spans="1:14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1:14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1:14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1:14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</row>
    <row r="167" spans="1:14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1:14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</row>
    <row r="169" spans="1:14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</row>
    <row r="170" spans="1:14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</row>
    <row r="171" spans="1:14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</row>
    <row r="172" spans="1:14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</row>
    <row r="173" spans="1:14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1:14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</row>
    <row r="175" spans="1:14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1:14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1:14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</row>
    <row r="178" spans="1:14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1:14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1:14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1:14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1:14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1:14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1:14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1:14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1:14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1:14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1:14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1:14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1:14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1:14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1:14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1:14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  <row r="194" spans="1:14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1:14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</row>
    <row r="196" spans="1:14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1:14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1:14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1:14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1:14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1:14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</row>
    <row r="202" spans="1:14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</row>
    <row r="203" spans="1:14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</row>
    <row r="204" spans="1:14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</row>
    <row r="205" spans="1:14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</row>
    <row r="206" spans="1:14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</row>
    <row r="207" spans="1:14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</row>
    <row r="208" spans="1:14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</row>
    <row r="209" spans="1:14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</row>
    <row r="210" spans="1:14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</row>
    <row r="211" spans="1:14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</row>
    <row r="212" spans="1:14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</row>
    <row r="213" spans="1:14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</row>
    <row r="214" spans="1:14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</row>
    <row r="215" spans="1:14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</row>
    <row r="216" spans="1:14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</row>
    <row r="217" spans="1:14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</row>
    <row r="218" spans="1:14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</row>
    <row r="219" spans="1:14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</row>
    <row r="220" spans="1:14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</row>
    <row r="221" spans="1:14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</row>
    <row r="222" spans="1:14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</row>
    <row r="223" spans="1:14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1:14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</row>
    <row r="225" spans="1:14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</row>
    <row r="226" spans="1:14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</row>
    <row r="227" spans="1:14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</row>
    <row r="228" spans="1:14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</row>
    <row r="229" spans="1:14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</row>
    <row r="230" spans="1:14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</row>
    <row r="231" spans="1:14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</row>
    <row r="232" spans="1:14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1:14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1:14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1:14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</sheetData>
  <mergeCells count="2">
    <mergeCell ref="A1:F1"/>
    <mergeCell ref="A2:F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AD210"/>
  <sheetViews>
    <sheetView view="pageBreakPreview" topLeftCell="A13" zoomScaleNormal="100" zoomScaleSheetLayoutView="100" workbookViewId="0">
      <selection activeCell="W33" sqref="W33"/>
    </sheetView>
  </sheetViews>
  <sheetFormatPr defaultColWidth="9.1796875" defaultRowHeight="13" x14ac:dyDescent="0.3"/>
  <cols>
    <col min="1" max="1" width="47.81640625" style="52" customWidth="1"/>
    <col min="2" max="2" width="22.81640625" style="52" customWidth="1"/>
    <col min="3" max="3" width="15.81640625" style="52" customWidth="1"/>
    <col min="4" max="4" width="14" style="52" customWidth="1"/>
    <col min="5" max="5" width="18.1796875" style="52" bestFit="1" customWidth="1"/>
    <col min="6" max="6" width="16.81640625" style="52" customWidth="1"/>
    <col min="7" max="8" width="14" style="52" hidden="1" customWidth="1"/>
    <col min="9" max="10" width="14" style="126" hidden="1" customWidth="1"/>
    <col min="11" max="12" width="15" style="126" hidden="1" customWidth="1"/>
    <col min="13" max="13" width="15.81640625" style="126" customWidth="1"/>
    <col min="14" max="14" width="16.453125" style="126" customWidth="1"/>
    <col min="15" max="15" width="16.54296875" style="126" customWidth="1"/>
    <col min="16" max="16" width="16.81640625" style="126" customWidth="1"/>
    <col min="17" max="24" width="17" style="126" customWidth="1"/>
    <col min="25" max="25" width="13.54296875" style="52" bestFit="1" customWidth="1"/>
    <col min="26" max="16384" width="9.1796875" style="52"/>
  </cols>
  <sheetData>
    <row r="1" spans="1:30" ht="18" x14ac:dyDescent="0.25">
      <c r="A1" s="1157" t="s">
        <v>950</v>
      </c>
      <c r="B1" s="1157"/>
      <c r="C1" s="1157"/>
      <c r="D1" s="1157"/>
      <c r="E1" s="1157"/>
      <c r="F1" s="1157"/>
      <c r="G1" s="1157"/>
      <c r="H1" s="1157"/>
      <c r="I1" s="1157"/>
      <c r="J1" s="1157"/>
      <c r="K1" s="1157"/>
      <c r="L1" s="1157"/>
      <c r="M1" s="1157"/>
      <c r="N1" s="1157"/>
      <c r="O1" s="1157"/>
      <c r="P1" s="1157"/>
      <c r="Q1" s="1157"/>
      <c r="R1" s="1157"/>
      <c r="S1" s="1157"/>
      <c r="T1" s="1157"/>
      <c r="U1" s="1157"/>
      <c r="V1" s="1157"/>
      <c r="W1" s="1157"/>
      <c r="X1" s="1157"/>
      <c r="Y1" s="297"/>
      <c r="Z1" s="297"/>
      <c r="AA1" s="297"/>
      <c r="AB1" s="297"/>
      <c r="AC1" s="297"/>
      <c r="AD1" s="297"/>
    </row>
    <row r="2" spans="1:30" ht="38.5" customHeight="1" x14ac:dyDescent="0.25">
      <c r="A2" s="1170" t="s">
        <v>952</v>
      </c>
      <c r="B2" s="1170"/>
      <c r="C2" s="1170"/>
      <c r="D2" s="1170"/>
      <c r="E2" s="1170"/>
      <c r="F2" s="304"/>
      <c r="G2" s="304"/>
      <c r="H2" s="304"/>
      <c r="I2" s="304"/>
      <c r="J2" s="304"/>
      <c r="K2" s="304"/>
      <c r="L2" s="304"/>
      <c r="M2" s="1158" t="s">
        <v>716</v>
      </c>
      <c r="N2" s="1158"/>
      <c r="O2" s="1158"/>
      <c r="P2" s="1158"/>
      <c r="Q2" s="1158"/>
      <c r="R2" s="1158"/>
      <c r="S2" s="1158"/>
      <c r="T2" s="1158"/>
      <c r="U2" s="1158"/>
      <c r="V2" s="1158"/>
      <c r="W2" s="1158"/>
      <c r="X2" s="1158"/>
      <c r="Y2" s="297"/>
      <c r="Z2" s="297"/>
      <c r="AA2" s="297"/>
      <c r="AB2" s="297"/>
      <c r="AC2" s="297"/>
      <c r="AD2" s="297"/>
    </row>
    <row r="3" spans="1:30" ht="14.5" thickBot="1" x14ac:dyDescent="0.35">
      <c r="A3" s="1159"/>
      <c r="B3" s="1159"/>
      <c r="C3" s="1159"/>
      <c r="D3" s="170"/>
      <c r="E3" s="171"/>
      <c r="F3" s="170"/>
      <c r="G3" s="98"/>
      <c r="H3" s="172"/>
      <c r="I3" s="173"/>
      <c r="J3" s="173"/>
      <c r="K3" s="173"/>
      <c r="L3" s="98"/>
      <c r="M3" s="98"/>
      <c r="N3" s="98"/>
      <c r="O3" s="98"/>
      <c r="P3" s="98"/>
      <c r="Q3" s="1160" t="s">
        <v>475</v>
      </c>
      <c r="R3" s="1160"/>
      <c r="S3" s="1160"/>
      <c r="T3" s="1160"/>
      <c r="U3" s="1160"/>
      <c r="V3" s="1160"/>
      <c r="W3" s="1160"/>
      <c r="X3" s="1160"/>
      <c r="Y3" s="297"/>
      <c r="Z3" s="297"/>
      <c r="AA3" s="297"/>
      <c r="AB3" s="297"/>
      <c r="AC3" s="297"/>
      <c r="AD3" s="297"/>
    </row>
    <row r="4" spans="1:30" ht="18" customHeight="1" thickBot="1" x14ac:dyDescent="0.3">
      <c r="A4" s="1161" t="s">
        <v>135</v>
      </c>
      <c r="B4" s="99"/>
      <c r="C4" s="100" t="s">
        <v>267</v>
      </c>
      <c r="D4" s="1162" t="s">
        <v>136</v>
      </c>
      <c r="E4" s="1163"/>
      <c r="F4" s="1164" t="s">
        <v>137</v>
      </c>
      <c r="G4" s="124"/>
      <c r="H4" s="125"/>
      <c r="I4" s="125"/>
      <c r="J4" s="125"/>
      <c r="K4" s="125"/>
      <c r="L4" s="125"/>
      <c r="M4" s="177" t="s">
        <v>248</v>
      </c>
      <c r="N4" s="177" t="s">
        <v>269</v>
      </c>
      <c r="O4" s="177" t="s">
        <v>270</v>
      </c>
      <c r="P4" s="177" t="s">
        <v>271</v>
      </c>
      <c r="Q4" s="177" t="s">
        <v>272</v>
      </c>
      <c r="R4" s="177" t="s">
        <v>297</v>
      </c>
      <c r="S4" s="177" t="s">
        <v>385</v>
      </c>
      <c r="T4" s="177" t="s">
        <v>386</v>
      </c>
      <c r="U4" s="177" t="s">
        <v>387</v>
      </c>
      <c r="V4" s="177" t="s">
        <v>388</v>
      </c>
      <c r="W4" s="177" t="s">
        <v>389</v>
      </c>
      <c r="X4" s="177" t="s">
        <v>951</v>
      </c>
      <c r="Y4" s="297"/>
      <c r="Z4" s="297"/>
      <c r="AA4" s="297"/>
      <c r="AB4" s="297"/>
      <c r="AC4" s="297"/>
      <c r="AD4" s="297"/>
    </row>
    <row r="5" spans="1:30" ht="13.5" customHeight="1" thickBot="1" x14ac:dyDescent="0.3">
      <c r="A5" s="1161"/>
      <c r="B5" s="101" t="s">
        <v>138</v>
      </c>
      <c r="C5" s="102" t="s">
        <v>139</v>
      </c>
      <c r="D5" s="1167" t="s">
        <v>140</v>
      </c>
      <c r="E5" s="1168" t="s">
        <v>141</v>
      </c>
      <c r="F5" s="1165"/>
      <c r="G5" s="1161" t="s">
        <v>242</v>
      </c>
      <c r="H5" s="174" t="s">
        <v>243</v>
      </c>
      <c r="I5" s="99" t="s">
        <v>243</v>
      </c>
      <c r="J5" s="1151" t="s">
        <v>244</v>
      </c>
      <c r="K5" s="1151" t="s">
        <v>161</v>
      </c>
      <c r="L5" s="1154" t="s">
        <v>245</v>
      </c>
      <c r="M5" s="310" t="s">
        <v>246</v>
      </c>
      <c r="N5" s="310" t="s">
        <v>246</v>
      </c>
      <c r="O5" s="310" t="s">
        <v>246</v>
      </c>
      <c r="P5" s="310" t="s">
        <v>246</v>
      </c>
      <c r="Q5" s="310" t="s">
        <v>246</v>
      </c>
      <c r="R5" s="310" t="s">
        <v>246</v>
      </c>
      <c r="S5" s="310" t="s">
        <v>246</v>
      </c>
      <c r="T5" s="310" t="s">
        <v>246</v>
      </c>
      <c r="U5" s="310" t="s">
        <v>246</v>
      </c>
      <c r="V5" s="310" t="s">
        <v>246</v>
      </c>
      <c r="W5" s="310" t="s">
        <v>246</v>
      </c>
      <c r="X5" s="310" t="s">
        <v>246</v>
      </c>
      <c r="Y5" s="297"/>
      <c r="Z5" s="297"/>
      <c r="AA5" s="297"/>
      <c r="AB5" s="297"/>
      <c r="AC5" s="297"/>
      <c r="AD5" s="297"/>
    </row>
    <row r="6" spans="1:30" ht="13.5" customHeight="1" thickBot="1" x14ac:dyDescent="0.3">
      <c r="A6" s="1161"/>
      <c r="B6" s="103"/>
      <c r="C6" s="104" t="s">
        <v>142</v>
      </c>
      <c r="D6" s="1167"/>
      <c r="E6" s="1168"/>
      <c r="F6" s="1166"/>
      <c r="G6" s="1169"/>
      <c r="H6" s="175" t="s">
        <v>246</v>
      </c>
      <c r="I6" s="176" t="s">
        <v>142</v>
      </c>
      <c r="J6" s="1152"/>
      <c r="K6" s="1152"/>
      <c r="L6" s="1155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297"/>
      <c r="Z6" s="297"/>
      <c r="AA6" s="297"/>
      <c r="AB6" s="297"/>
      <c r="AC6" s="297"/>
      <c r="AD6" s="297"/>
    </row>
    <row r="7" spans="1:30" ht="44.25" customHeight="1" thickBot="1" x14ac:dyDescent="0.35">
      <c r="A7" s="315" t="s">
        <v>390</v>
      </c>
      <c r="B7" s="105" t="s">
        <v>268</v>
      </c>
      <c r="C7" s="248">
        <v>0</v>
      </c>
      <c r="D7" s="249">
        <v>2015</v>
      </c>
      <c r="E7" s="250">
        <v>260000000</v>
      </c>
      <c r="F7" s="250">
        <v>260000000</v>
      </c>
      <c r="G7" s="106"/>
      <c r="H7" s="106"/>
      <c r="I7" s="103"/>
      <c r="J7" s="103" t="s">
        <v>247</v>
      </c>
      <c r="K7" s="1153"/>
      <c r="L7" s="1155"/>
      <c r="M7" s="251">
        <v>0</v>
      </c>
      <c r="N7" s="316">
        <f>7222222+7222222</f>
        <v>14444444</v>
      </c>
      <c r="O7" s="316">
        <f>7222222*4</f>
        <v>28888888</v>
      </c>
      <c r="P7" s="316">
        <f>7222222*4</f>
        <v>28888888</v>
      </c>
      <c r="Q7" s="316">
        <f>7222222*4</f>
        <v>28888888</v>
      </c>
      <c r="R7" s="316">
        <v>28888888</v>
      </c>
      <c r="S7" s="316">
        <v>28888888</v>
      </c>
      <c r="T7" s="316">
        <v>28888888</v>
      </c>
      <c r="U7" s="316">
        <v>28888888</v>
      </c>
      <c r="V7" s="316">
        <f>28888888+14444452</f>
        <v>43333340</v>
      </c>
      <c r="W7" s="316">
        <v>0</v>
      </c>
      <c r="X7" s="252">
        <v>0</v>
      </c>
      <c r="Y7" s="317"/>
      <c r="Z7" s="297"/>
      <c r="AA7" s="297"/>
      <c r="AB7" s="297"/>
      <c r="AC7" s="297"/>
      <c r="AD7" s="297"/>
    </row>
    <row r="8" spans="1:30" s="126" customFormat="1" ht="33.75" customHeight="1" x14ac:dyDescent="0.35">
      <c r="A8" s="194" t="s">
        <v>391</v>
      </c>
      <c r="B8" s="195"/>
      <c r="C8" s="196">
        <v>0</v>
      </c>
      <c r="D8" s="197"/>
      <c r="E8" s="198"/>
      <c r="F8" s="198"/>
      <c r="G8" s="198" t="e">
        <f>SUM(#REF!,#REF!)</f>
        <v>#REF!</v>
      </c>
      <c r="H8" s="198" t="e">
        <f>SUM(#REF!,#REF!)</f>
        <v>#REF!</v>
      </c>
      <c r="I8" s="198" t="e">
        <f>SUM(#REF!,#REF!)</f>
        <v>#REF!</v>
      </c>
      <c r="J8" s="198"/>
      <c r="K8" s="198" t="e">
        <f>SUM(#REF!,#REF!)</f>
        <v>#REF!</v>
      </c>
      <c r="L8" s="198" t="e">
        <f>SUM(#REF!,#REF!)</f>
        <v>#REF!</v>
      </c>
      <c r="M8" s="198"/>
      <c r="N8" s="253">
        <f>F7-N7</f>
        <v>245555556</v>
      </c>
      <c r="O8" s="253">
        <f t="shared" ref="O8:W8" si="0">N8-O7</f>
        <v>216666668</v>
      </c>
      <c r="P8" s="253">
        <f t="shared" si="0"/>
        <v>187777780</v>
      </c>
      <c r="Q8" s="253">
        <f t="shared" si="0"/>
        <v>158888892</v>
      </c>
      <c r="R8" s="253">
        <f t="shared" si="0"/>
        <v>130000004</v>
      </c>
      <c r="S8" s="253">
        <f t="shared" si="0"/>
        <v>101111116</v>
      </c>
      <c r="T8" s="253">
        <f t="shared" si="0"/>
        <v>72222228</v>
      </c>
      <c r="U8" s="253">
        <f t="shared" si="0"/>
        <v>43333340</v>
      </c>
      <c r="V8" s="253">
        <f t="shared" si="0"/>
        <v>0</v>
      </c>
      <c r="W8" s="253">
        <f t="shared" si="0"/>
        <v>0</v>
      </c>
      <c r="X8" s="253">
        <v>0</v>
      </c>
    </row>
    <row r="9" spans="1:30" s="126" customFormat="1" ht="31.5" customHeight="1" x14ac:dyDescent="0.35">
      <c r="A9" s="199" t="s">
        <v>392</v>
      </c>
      <c r="B9" s="200" t="s">
        <v>273</v>
      </c>
      <c r="C9" s="201"/>
      <c r="D9" s="202"/>
      <c r="E9" s="203"/>
      <c r="F9" s="203"/>
      <c r="G9" s="203"/>
      <c r="H9" s="203"/>
      <c r="I9" s="203"/>
      <c r="J9" s="203"/>
      <c r="K9" s="203"/>
      <c r="L9" s="203"/>
      <c r="M9" s="203"/>
      <c r="N9" s="254">
        <f>2554500*4</f>
        <v>10218000</v>
      </c>
      <c r="O9" s="254">
        <f>2483542+2412583+2341625+2270667</f>
        <v>9508417</v>
      </c>
      <c r="P9" s="254">
        <f>2199708+2128750+2057792+1986833</f>
        <v>8373083</v>
      </c>
      <c r="Q9" s="254">
        <v>2907318</v>
      </c>
      <c r="R9" s="254">
        <v>2900000</v>
      </c>
      <c r="S9" s="254">
        <v>2071027</v>
      </c>
      <c r="T9" s="254">
        <v>2351203</v>
      </c>
      <c r="U9" s="254">
        <v>5724244</v>
      </c>
      <c r="V9" s="254">
        <v>1043383</v>
      </c>
      <c r="W9" s="254">
        <v>0</v>
      </c>
      <c r="X9" s="254">
        <v>0</v>
      </c>
      <c r="Y9" s="318"/>
    </row>
    <row r="10" spans="1:30" s="126" customFormat="1" ht="31.5" customHeight="1" x14ac:dyDescent="0.35">
      <c r="A10" s="199" t="s">
        <v>393</v>
      </c>
      <c r="B10" s="200" t="s">
        <v>274</v>
      </c>
      <c r="C10" s="201" t="s">
        <v>275</v>
      </c>
      <c r="D10" s="202"/>
      <c r="E10" s="203"/>
      <c r="F10" s="203"/>
      <c r="G10" s="203"/>
      <c r="H10" s="203"/>
      <c r="I10" s="203"/>
      <c r="J10" s="203"/>
      <c r="K10" s="203"/>
      <c r="L10" s="203"/>
      <c r="M10" s="203"/>
      <c r="N10" s="254">
        <v>1300000</v>
      </c>
      <c r="O10" s="254">
        <v>0</v>
      </c>
      <c r="P10" s="254">
        <v>0</v>
      </c>
      <c r="Q10" s="254">
        <v>0</v>
      </c>
      <c r="R10" s="254">
        <v>0</v>
      </c>
      <c r="S10" s="254">
        <v>0</v>
      </c>
      <c r="T10" s="254">
        <v>0</v>
      </c>
      <c r="U10" s="254">
        <v>0</v>
      </c>
      <c r="V10" s="254">
        <v>0</v>
      </c>
      <c r="W10" s="254">
        <v>0</v>
      </c>
      <c r="X10" s="254">
        <v>0</v>
      </c>
    </row>
    <row r="11" spans="1:30" s="126" customFormat="1" ht="31.5" customHeight="1" x14ac:dyDescent="0.35">
      <c r="A11" s="199" t="s">
        <v>394</v>
      </c>
      <c r="B11" s="200" t="s">
        <v>277</v>
      </c>
      <c r="C11" s="201"/>
      <c r="D11" s="202"/>
      <c r="E11" s="203"/>
      <c r="F11" s="203"/>
      <c r="G11" s="203"/>
      <c r="H11" s="203"/>
      <c r="I11" s="203"/>
      <c r="J11" s="203"/>
      <c r="K11" s="203"/>
      <c r="L11" s="203"/>
      <c r="M11" s="203"/>
      <c r="N11" s="254">
        <f>N10+N9+N7</f>
        <v>25962444</v>
      </c>
      <c r="O11" s="254">
        <f t="shared" ref="O11:X11" si="1">O10+O9+O7</f>
        <v>38397305</v>
      </c>
      <c r="P11" s="254">
        <f t="shared" si="1"/>
        <v>37261971</v>
      </c>
      <c r="Q11" s="254">
        <f t="shared" si="1"/>
        <v>31796206</v>
      </c>
      <c r="R11" s="254">
        <f t="shared" si="1"/>
        <v>31788888</v>
      </c>
      <c r="S11" s="254">
        <f t="shared" si="1"/>
        <v>30959915</v>
      </c>
      <c r="T11" s="254">
        <f t="shared" si="1"/>
        <v>31240091</v>
      </c>
      <c r="U11" s="254">
        <f t="shared" si="1"/>
        <v>34613132</v>
      </c>
      <c r="V11" s="254">
        <f>V10+V9+V7</f>
        <v>44376723</v>
      </c>
      <c r="W11" s="254">
        <f t="shared" si="1"/>
        <v>0</v>
      </c>
      <c r="X11" s="254">
        <f t="shared" si="1"/>
        <v>0</v>
      </c>
    </row>
    <row r="12" spans="1:30" s="51" customFormat="1" ht="31.5" customHeight="1" x14ac:dyDescent="0.35">
      <c r="A12" s="319" t="s">
        <v>395</v>
      </c>
      <c r="B12" s="320"/>
      <c r="C12" s="1156" t="s">
        <v>442</v>
      </c>
      <c r="D12" s="1156"/>
      <c r="E12" s="321">
        <v>136764672</v>
      </c>
      <c r="F12" s="321">
        <v>162000000</v>
      </c>
      <c r="G12" s="322"/>
      <c r="H12" s="322"/>
      <c r="I12" s="322"/>
      <c r="J12" s="322"/>
      <c r="K12" s="322"/>
      <c r="L12" s="322"/>
      <c r="M12" s="322"/>
      <c r="N12" s="321"/>
      <c r="O12" s="321"/>
      <c r="P12" s="321"/>
      <c r="Q12" s="321">
        <f>8100000-4050000</f>
        <v>4050000</v>
      </c>
      <c r="R12" s="321">
        <f>16200000+4500000</f>
        <v>20700000</v>
      </c>
      <c r="S12" s="321">
        <v>16200000</v>
      </c>
      <c r="T12" s="321">
        <v>16200000</v>
      </c>
      <c r="U12" s="321">
        <v>16200000</v>
      </c>
      <c r="V12" s="321">
        <f>16200000+16200000+35514672-4500000</f>
        <v>63414672</v>
      </c>
      <c r="W12" s="321">
        <v>0</v>
      </c>
      <c r="X12" s="321">
        <f>SUM(136764672-(Q12+R12+S12+T12+U12+V12+W12))</f>
        <v>0</v>
      </c>
    </row>
    <row r="13" spans="1:30" s="126" customFormat="1" ht="43.5" customHeight="1" x14ac:dyDescent="0.35">
      <c r="A13" s="323" t="s">
        <v>396</v>
      </c>
      <c r="B13" s="324" t="s">
        <v>397</v>
      </c>
      <c r="C13" s="325"/>
      <c r="D13" s="326"/>
      <c r="E13" s="327"/>
      <c r="F13" s="327"/>
      <c r="G13" s="327"/>
      <c r="H13" s="327"/>
      <c r="I13" s="327"/>
      <c r="J13" s="327"/>
      <c r="K13" s="327"/>
      <c r="L13" s="327"/>
      <c r="M13" s="327"/>
      <c r="N13" s="328"/>
      <c r="O13" s="328"/>
      <c r="P13" s="328"/>
      <c r="Q13" s="328">
        <f>E12-Q12</f>
        <v>132714672</v>
      </c>
      <c r="R13" s="328">
        <f t="shared" ref="R13:X13" si="2">Q13-R12</f>
        <v>112014672</v>
      </c>
      <c r="S13" s="328">
        <f t="shared" si="2"/>
        <v>95814672</v>
      </c>
      <c r="T13" s="328">
        <f t="shared" si="2"/>
        <v>79614672</v>
      </c>
      <c r="U13" s="328">
        <f t="shared" si="2"/>
        <v>63414672</v>
      </c>
      <c r="V13" s="328">
        <f t="shared" si="2"/>
        <v>0</v>
      </c>
      <c r="W13" s="328">
        <f t="shared" si="2"/>
        <v>0</v>
      </c>
      <c r="X13" s="328">
        <f t="shared" si="2"/>
        <v>0</v>
      </c>
    </row>
    <row r="14" spans="1:30" s="126" customFormat="1" ht="31.5" customHeight="1" x14ac:dyDescent="0.35">
      <c r="A14" s="329" t="s">
        <v>398</v>
      </c>
      <c r="B14" s="330"/>
      <c r="C14" s="331"/>
      <c r="D14" s="332"/>
      <c r="E14" s="333"/>
      <c r="F14" s="333"/>
      <c r="G14" s="333"/>
      <c r="H14" s="333"/>
      <c r="I14" s="333"/>
      <c r="J14" s="333"/>
      <c r="K14" s="333"/>
      <c r="L14" s="333"/>
      <c r="M14" s="333"/>
      <c r="N14" s="334"/>
      <c r="O14" s="334"/>
      <c r="P14" s="334"/>
      <c r="Q14" s="334">
        <v>415673</v>
      </c>
      <c r="R14" s="334">
        <v>2079762</v>
      </c>
      <c r="S14" s="334">
        <v>2030891</v>
      </c>
      <c r="T14" s="334">
        <v>2316559</v>
      </c>
      <c r="U14" s="334">
        <v>7685554</v>
      </c>
      <c r="V14" s="334">
        <v>1604000</v>
      </c>
      <c r="W14" s="334">
        <v>0</v>
      </c>
      <c r="X14" s="334">
        <v>0</v>
      </c>
      <c r="Y14" s="318"/>
    </row>
    <row r="15" spans="1:30" s="126" customFormat="1" ht="60" customHeight="1" x14ac:dyDescent="0.35">
      <c r="A15" s="329" t="s">
        <v>399</v>
      </c>
      <c r="B15" s="330"/>
      <c r="C15" s="331" t="s">
        <v>400</v>
      </c>
      <c r="D15" s="332"/>
      <c r="E15" s="333"/>
      <c r="F15" s="333"/>
      <c r="G15" s="333"/>
      <c r="H15" s="333"/>
      <c r="I15" s="333"/>
      <c r="J15" s="333"/>
      <c r="K15" s="333"/>
      <c r="L15" s="333"/>
      <c r="M15" s="333"/>
      <c r="N15" s="334"/>
      <c r="O15" s="334"/>
      <c r="P15" s="334"/>
      <c r="Q15" s="334"/>
      <c r="R15" s="334"/>
      <c r="S15" s="334"/>
      <c r="T15" s="334"/>
      <c r="U15" s="334"/>
      <c r="V15" s="334"/>
      <c r="W15" s="334"/>
      <c r="X15" s="334"/>
    </row>
    <row r="16" spans="1:30" s="126" customFormat="1" ht="31.5" customHeight="1" x14ac:dyDescent="0.35">
      <c r="A16" s="329" t="s">
        <v>401</v>
      </c>
      <c r="B16" s="330"/>
      <c r="C16" s="331"/>
      <c r="D16" s="332"/>
      <c r="E16" s="333"/>
      <c r="F16" s="333"/>
      <c r="G16" s="333"/>
      <c r="H16" s="333"/>
      <c r="I16" s="333"/>
      <c r="J16" s="333"/>
      <c r="K16" s="333"/>
      <c r="L16" s="333"/>
      <c r="M16" s="333"/>
      <c r="N16" s="334"/>
      <c r="O16" s="334"/>
      <c r="P16" s="334">
        <v>0</v>
      </c>
      <c r="Q16" s="334">
        <f>Q12+Q14</f>
        <v>4465673</v>
      </c>
      <c r="R16" s="334">
        <f t="shared" ref="R16:X16" si="3">R12+R14</f>
        <v>22779762</v>
      </c>
      <c r="S16" s="334">
        <f t="shared" si="3"/>
        <v>18230891</v>
      </c>
      <c r="T16" s="334">
        <f t="shared" si="3"/>
        <v>18516559</v>
      </c>
      <c r="U16" s="334">
        <f t="shared" si="3"/>
        <v>23885554</v>
      </c>
      <c r="V16" s="334">
        <f t="shared" si="3"/>
        <v>65018672</v>
      </c>
      <c r="W16" s="334">
        <f t="shared" si="3"/>
        <v>0</v>
      </c>
      <c r="X16" s="334">
        <f t="shared" si="3"/>
        <v>0</v>
      </c>
      <c r="Y16" s="318"/>
    </row>
    <row r="17" spans="1:30" s="51" customFormat="1" ht="31.5" customHeight="1" x14ac:dyDescent="0.35">
      <c r="A17" s="335" t="s">
        <v>402</v>
      </c>
      <c r="B17" s="336"/>
      <c r="C17" s="337"/>
      <c r="D17" s="338"/>
      <c r="E17" s="339"/>
      <c r="F17" s="339"/>
      <c r="G17" s="339"/>
      <c r="H17" s="339"/>
      <c r="I17" s="339"/>
      <c r="J17" s="339"/>
      <c r="K17" s="339"/>
      <c r="L17" s="339"/>
      <c r="M17" s="339"/>
      <c r="N17" s="340">
        <f>N8+N13</f>
        <v>245555556</v>
      </c>
      <c r="O17" s="340">
        <f t="shared" ref="O17:X17" si="4">O8+O13</f>
        <v>216666668</v>
      </c>
      <c r="P17" s="340">
        <f t="shared" si="4"/>
        <v>187777780</v>
      </c>
      <c r="Q17" s="340">
        <f t="shared" si="4"/>
        <v>291603564</v>
      </c>
      <c r="R17" s="340">
        <f t="shared" si="4"/>
        <v>242014676</v>
      </c>
      <c r="S17" s="340">
        <f t="shared" si="4"/>
        <v>196925788</v>
      </c>
      <c r="T17" s="340">
        <f t="shared" si="4"/>
        <v>151836900</v>
      </c>
      <c r="U17" s="340">
        <f t="shared" si="4"/>
        <v>106748012</v>
      </c>
      <c r="V17" s="340">
        <f t="shared" si="4"/>
        <v>0</v>
      </c>
      <c r="W17" s="340">
        <f t="shared" si="4"/>
        <v>0</v>
      </c>
      <c r="X17" s="340">
        <f t="shared" si="4"/>
        <v>0</v>
      </c>
      <c r="Y17" s="341"/>
    </row>
    <row r="18" spans="1:30" s="51" customFormat="1" ht="31.5" customHeight="1" x14ac:dyDescent="0.35">
      <c r="A18" s="319" t="s">
        <v>276</v>
      </c>
      <c r="B18" s="319"/>
      <c r="C18" s="204"/>
      <c r="D18" s="205"/>
      <c r="E18" s="206"/>
      <c r="F18" s="206"/>
      <c r="G18" s="206"/>
      <c r="H18" s="206"/>
      <c r="I18" s="206"/>
      <c r="J18" s="206"/>
      <c r="K18" s="206"/>
      <c r="L18" s="206"/>
      <c r="M18" s="321">
        <f>M16+M11</f>
        <v>0</v>
      </c>
      <c r="N18" s="321">
        <f>N16+N11</f>
        <v>25962444</v>
      </c>
      <c r="O18" s="321">
        <f t="shared" ref="O18:X18" si="5">O16+O11</f>
        <v>38397305</v>
      </c>
      <c r="P18" s="321">
        <f>P16+P11</f>
        <v>37261971</v>
      </c>
      <c r="Q18" s="321">
        <f t="shared" si="5"/>
        <v>36261879</v>
      </c>
      <c r="R18" s="321">
        <f t="shared" si="5"/>
        <v>54568650</v>
      </c>
      <c r="S18" s="321">
        <f t="shared" si="5"/>
        <v>49190806</v>
      </c>
      <c r="T18" s="321">
        <f>T16+T11</f>
        <v>49756650</v>
      </c>
      <c r="U18" s="321">
        <f t="shared" si="5"/>
        <v>58498686</v>
      </c>
      <c r="V18" s="321">
        <f>V16+V11</f>
        <v>109395395</v>
      </c>
      <c r="W18" s="321">
        <f t="shared" si="5"/>
        <v>0</v>
      </c>
      <c r="X18" s="321">
        <f t="shared" si="5"/>
        <v>0</v>
      </c>
    </row>
    <row r="19" spans="1:30" x14ac:dyDescent="0.3">
      <c r="A19" s="144"/>
      <c r="B19" s="144"/>
      <c r="C19" s="144"/>
      <c r="D19" s="145"/>
      <c r="E19" s="145"/>
      <c r="F19" s="145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297"/>
      <c r="Z19" s="297"/>
      <c r="AA19" s="297"/>
      <c r="AB19" s="297"/>
      <c r="AC19" s="297"/>
      <c r="AD19" s="297"/>
    </row>
    <row r="20" spans="1:30" ht="14" x14ac:dyDescent="0.3">
      <c r="A20" s="108"/>
      <c r="B20" s="108"/>
      <c r="C20" s="108"/>
      <c r="D20" s="109"/>
      <c r="E20" s="110"/>
      <c r="F20" s="110"/>
      <c r="G20" s="111"/>
      <c r="H20" s="111"/>
      <c r="I20" s="111"/>
      <c r="J20" s="111"/>
      <c r="K20" s="111"/>
      <c r="L20" s="111"/>
      <c r="M20" s="111"/>
      <c r="N20" s="111"/>
      <c r="O20" s="111"/>
      <c r="P20" s="342"/>
      <c r="Q20" s="342"/>
      <c r="R20" s="342"/>
      <c r="S20" s="342"/>
      <c r="T20" s="342"/>
      <c r="U20" s="342"/>
      <c r="V20" s="342">
        <f t="shared" ref="V20" si="6">V13+V8</f>
        <v>0</v>
      </c>
      <c r="W20" s="111"/>
      <c r="X20" s="111"/>
      <c r="Y20" s="300"/>
      <c r="Z20" s="300"/>
      <c r="AA20" s="300"/>
      <c r="AB20" s="297"/>
      <c r="AC20" s="297"/>
      <c r="AD20" s="297"/>
    </row>
    <row r="21" spans="1:30" ht="14" x14ac:dyDescent="0.3">
      <c r="A21" s="112"/>
      <c r="B21" s="112"/>
      <c r="C21" s="112"/>
      <c r="D21" s="113"/>
      <c r="E21" s="107"/>
      <c r="F21" s="396"/>
      <c r="G21" s="397"/>
      <c r="H21" s="397"/>
      <c r="I21" s="398"/>
      <c r="J21" s="398"/>
      <c r="K21" s="398"/>
      <c r="L21" s="398"/>
      <c r="M21" s="398"/>
      <c r="N21" s="398">
        <f>N18-N14-N12-N10-N9-N7</f>
        <v>0</v>
      </c>
      <c r="O21" s="398">
        <f t="shared" ref="O21:X21" si="7">O18-O14-O12-O10-O9-O7</f>
        <v>0</v>
      </c>
      <c r="P21" s="398">
        <f t="shared" si="7"/>
        <v>0</v>
      </c>
      <c r="Q21" s="115"/>
      <c r="R21" s="115"/>
      <c r="S21" s="115"/>
      <c r="T21" s="115"/>
      <c r="U21" s="115"/>
      <c r="V21" s="439">
        <f>V12+V7</f>
        <v>106748012</v>
      </c>
      <c r="W21" s="398">
        <f t="shared" si="7"/>
        <v>0</v>
      </c>
      <c r="X21" s="398">
        <f t="shared" si="7"/>
        <v>0</v>
      </c>
      <c r="Y21" s="297"/>
      <c r="Z21" s="297"/>
      <c r="AA21" s="297"/>
      <c r="AB21" s="297"/>
      <c r="AC21" s="297"/>
      <c r="AD21" s="297"/>
    </row>
    <row r="22" spans="1:30" ht="14" x14ac:dyDescent="0.3">
      <c r="A22" s="112"/>
      <c r="B22" s="112"/>
      <c r="C22" s="112"/>
      <c r="D22" s="113"/>
      <c r="E22" s="107"/>
      <c r="F22" s="107"/>
      <c r="G22" s="114"/>
      <c r="H22" s="114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297"/>
      <c r="Z22" s="297"/>
      <c r="AA22" s="297"/>
      <c r="AB22" s="297"/>
      <c r="AC22" s="297"/>
      <c r="AD22" s="297"/>
    </row>
    <row r="23" spans="1:30" x14ac:dyDescent="0.3">
      <c r="A23" s="297"/>
      <c r="B23" s="297"/>
      <c r="C23" s="297"/>
      <c r="D23" s="297"/>
      <c r="E23" s="297"/>
      <c r="F23" s="297"/>
      <c r="G23" s="297"/>
      <c r="H23" s="297"/>
      <c r="Y23" s="297"/>
      <c r="Z23" s="297"/>
      <c r="AA23" s="297"/>
      <c r="AB23" s="297"/>
      <c r="AC23" s="297"/>
      <c r="AD23" s="297"/>
    </row>
    <row r="24" spans="1:30" x14ac:dyDescent="0.3">
      <c r="A24" s="297"/>
      <c r="B24" s="297"/>
      <c r="C24" s="297"/>
      <c r="D24" s="297"/>
      <c r="E24" s="297"/>
      <c r="F24" s="297"/>
      <c r="G24" s="297"/>
      <c r="H24" s="297"/>
      <c r="Y24" s="297"/>
      <c r="Z24" s="297"/>
      <c r="AA24" s="297"/>
      <c r="AB24" s="297"/>
      <c r="AC24" s="297"/>
      <c r="AD24" s="297"/>
    </row>
    <row r="25" spans="1:30" x14ac:dyDescent="0.3">
      <c r="A25" s="297"/>
      <c r="B25" s="297"/>
      <c r="C25" s="297"/>
      <c r="D25" s="297"/>
      <c r="E25" s="297"/>
      <c r="F25" s="297"/>
      <c r="G25" s="297"/>
      <c r="H25" s="297"/>
      <c r="Y25" s="297"/>
      <c r="Z25" s="297"/>
      <c r="AA25" s="297"/>
      <c r="AB25" s="297"/>
      <c r="AC25" s="297"/>
      <c r="AD25" s="297"/>
    </row>
    <row r="26" spans="1:30" x14ac:dyDescent="0.3">
      <c r="A26" s="297"/>
      <c r="B26" s="297"/>
      <c r="C26" s="297"/>
      <c r="D26" s="297"/>
      <c r="E26" s="297"/>
      <c r="F26" s="297"/>
      <c r="G26" s="297"/>
      <c r="H26" s="297"/>
      <c r="Y26" s="297"/>
      <c r="Z26" s="297"/>
      <c r="AA26" s="297"/>
      <c r="AB26" s="297"/>
      <c r="AC26" s="297"/>
      <c r="AD26" s="297"/>
    </row>
    <row r="27" spans="1:30" x14ac:dyDescent="0.3">
      <c r="A27" s="297"/>
      <c r="B27" s="297"/>
      <c r="C27" s="297"/>
      <c r="D27" s="297"/>
      <c r="E27" s="297"/>
      <c r="F27" s="297"/>
      <c r="G27" s="297"/>
      <c r="H27" s="297"/>
      <c r="Y27" s="297"/>
      <c r="Z27" s="297"/>
      <c r="AA27" s="297"/>
      <c r="AB27" s="297"/>
      <c r="AC27" s="297"/>
      <c r="AD27" s="297"/>
    </row>
    <row r="28" spans="1:30" x14ac:dyDescent="0.3">
      <c r="A28" s="297"/>
      <c r="B28" s="297"/>
      <c r="C28" s="297"/>
      <c r="D28" s="297"/>
      <c r="E28" s="297"/>
      <c r="F28" s="297"/>
      <c r="G28" s="297"/>
      <c r="H28" s="297"/>
      <c r="Y28" s="297"/>
      <c r="Z28" s="297"/>
      <c r="AA28" s="297"/>
      <c r="AB28" s="297"/>
      <c r="AC28" s="297"/>
      <c r="AD28" s="297"/>
    </row>
    <row r="29" spans="1:30" x14ac:dyDescent="0.3">
      <c r="A29" s="297"/>
      <c r="B29" s="297"/>
      <c r="C29" s="297"/>
      <c r="D29" s="297"/>
      <c r="E29" s="297"/>
      <c r="F29" s="297"/>
      <c r="G29" s="297"/>
      <c r="H29" s="297"/>
      <c r="Y29" s="297"/>
      <c r="Z29" s="297"/>
      <c r="AA29" s="297"/>
      <c r="AB29" s="297"/>
      <c r="AC29" s="297"/>
      <c r="AD29" s="297"/>
    </row>
    <row r="30" spans="1:30" x14ac:dyDescent="0.3">
      <c r="A30" s="297"/>
      <c r="B30" s="297"/>
      <c r="C30" s="297"/>
      <c r="D30" s="297"/>
      <c r="E30" s="297"/>
      <c r="F30" s="297"/>
      <c r="G30" s="297"/>
      <c r="H30" s="297"/>
      <c r="Y30" s="297"/>
      <c r="Z30" s="297"/>
      <c r="AA30" s="297"/>
      <c r="AB30" s="297"/>
      <c r="AC30" s="297"/>
      <c r="AD30" s="297"/>
    </row>
    <row r="31" spans="1:30" x14ac:dyDescent="0.3">
      <c r="A31" s="297"/>
      <c r="B31" s="297"/>
      <c r="C31" s="297"/>
      <c r="D31" s="297"/>
      <c r="E31" s="297"/>
      <c r="F31" s="297"/>
      <c r="G31" s="297"/>
      <c r="H31" s="297"/>
      <c r="Y31" s="297"/>
      <c r="Z31" s="297"/>
      <c r="AA31" s="297"/>
      <c r="AB31" s="297"/>
      <c r="AC31" s="297"/>
      <c r="AD31" s="297"/>
    </row>
    <row r="32" spans="1:30" x14ac:dyDescent="0.3">
      <c r="A32" s="297"/>
      <c r="B32" s="297"/>
      <c r="C32" s="297"/>
      <c r="D32" s="297"/>
      <c r="E32" s="297"/>
      <c r="F32" s="297"/>
      <c r="G32" s="297"/>
      <c r="H32" s="297"/>
      <c r="Y32" s="297"/>
      <c r="Z32" s="297"/>
      <c r="AA32" s="297"/>
      <c r="AB32" s="297"/>
      <c r="AC32" s="297"/>
      <c r="AD32" s="297"/>
    </row>
    <row r="33" spans="1:30" x14ac:dyDescent="0.3">
      <c r="A33" s="297"/>
      <c r="B33" s="297"/>
      <c r="C33" s="297"/>
      <c r="D33" s="297"/>
      <c r="E33" s="297"/>
      <c r="F33" s="297"/>
      <c r="G33" s="297"/>
      <c r="H33" s="297"/>
      <c r="Y33" s="297"/>
      <c r="Z33" s="297"/>
      <c r="AA33" s="297"/>
      <c r="AB33" s="297"/>
      <c r="AC33" s="297"/>
      <c r="AD33" s="297"/>
    </row>
    <row r="34" spans="1:30" x14ac:dyDescent="0.3">
      <c r="A34" s="297"/>
      <c r="B34" s="297"/>
      <c r="C34" s="297"/>
      <c r="D34" s="297"/>
      <c r="E34" s="297"/>
      <c r="F34" s="297"/>
      <c r="G34" s="297"/>
      <c r="H34" s="297"/>
      <c r="Y34" s="297"/>
      <c r="Z34" s="297"/>
      <c r="AA34" s="297"/>
      <c r="AB34" s="297"/>
      <c r="AC34" s="297"/>
      <c r="AD34" s="297"/>
    </row>
    <row r="35" spans="1:30" x14ac:dyDescent="0.3">
      <c r="A35" s="297"/>
      <c r="B35" s="297"/>
      <c r="C35" s="297"/>
      <c r="D35" s="297"/>
      <c r="E35" s="297"/>
      <c r="F35" s="297"/>
      <c r="G35" s="297"/>
      <c r="H35" s="297"/>
      <c r="Y35" s="297"/>
      <c r="Z35" s="297"/>
      <c r="AA35" s="297"/>
      <c r="AB35" s="297"/>
      <c r="AC35" s="297"/>
      <c r="AD35" s="297"/>
    </row>
    <row r="36" spans="1:30" x14ac:dyDescent="0.3">
      <c r="A36" s="297"/>
      <c r="B36" s="297"/>
      <c r="C36" s="297"/>
      <c r="D36" s="297"/>
      <c r="E36" s="297"/>
      <c r="F36" s="297"/>
      <c r="G36" s="297"/>
      <c r="H36" s="297"/>
      <c r="Y36" s="297"/>
      <c r="Z36" s="297"/>
      <c r="AA36" s="297"/>
      <c r="AB36" s="297"/>
      <c r="AC36" s="297"/>
      <c r="AD36" s="297"/>
    </row>
    <row r="37" spans="1:30" x14ac:dyDescent="0.3">
      <c r="A37" s="297"/>
      <c r="B37" s="297"/>
      <c r="C37" s="297"/>
      <c r="D37" s="297"/>
      <c r="E37" s="297"/>
      <c r="F37" s="297"/>
      <c r="G37" s="297"/>
      <c r="H37" s="297"/>
      <c r="Y37" s="297"/>
      <c r="Z37" s="297"/>
      <c r="AA37" s="297"/>
      <c r="AB37" s="297"/>
      <c r="AC37" s="297"/>
      <c r="AD37" s="297"/>
    </row>
    <row r="38" spans="1:30" x14ac:dyDescent="0.3">
      <c r="A38" s="297"/>
      <c r="B38" s="297"/>
      <c r="C38" s="297"/>
      <c r="D38" s="297"/>
      <c r="E38" s="297"/>
      <c r="F38" s="297"/>
      <c r="G38" s="297"/>
      <c r="H38" s="297"/>
      <c r="Y38" s="297"/>
      <c r="Z38" s="297"/>
      <c r="AA38" s="297"/>
      <c r="AB38" s="297"/>
      <c r="AC38" s="297"/>
      <c r="AD38" s="297"/>
    </row>
    <row r="39" spans="1:30" x14ac:dyDescent="0.3">
      <c r="A39" s="297"/>
      <c r="B39" s="297"/>
      <c r="C39" s="297"/>
      <c r="D39" s="297"/>
      <c r="E39" s="297"/>
      <c r="F39" s="297"/>
      <c r="G39" s="297"/>
      <c r="H39" s="297"/>
      <c r="Y39" s="297"/>
      <c r="Z39" s="297"/>
      <c r="AA39" s="297"/>
      <c r="AB39" s="297"/>
      <c r="AC39" s="297"/>
      <c r="AD39" s="297"/>
    </row>
    <row r="40" spans="1:30" x14ac:dyDescent="0.3">
      <c r="A40" s="297"/>
      <c r="B40" s="297"/>
      <c r="C40" s="297"/>
      <c r="D40" s="297"/>
      <c r="E40" s="297"/>
      <c r="F40" s="297"/>
      <c r="G40" s="297"/>
      <c r="H40" s="297"/>
      <c r="Y40" s="297"/>
      <c r="Z40" s="297"/>
      <c r="AA40" s="297"/>
      <c r="AB40" s="297"/>
      <c r="AC40" s="297"/>
      <c r="AD40" s="297"/>
    </row>
    <row r="41" spans="1:30" x14ac:dyDescent="0.3">
      <c r="A41" s="297"/>
      <c r="B41" s="297"/>
      <c r="C41" s="297"/>
      <c r="D41" s="297"/>
      <c r="E41" s="297"/>
      <c r="F41" s="297"/>
      <c r="G41" s="297"/>
      <c r="H41" s="297"/>
      <c r="Y41" s="297"/>
      <c r="Z41" s="297"/>
      <c r="AA41" s="297"/>
      <c r="AB41" s="297"/>
      <c r="AC41" s="297"/>
      <c r="AD41" s="297"/>
    </row>
    <row r="42" spans="1:30" x14ac:dyDescent="0.3">
      <c r="A42" s="297"/>
      <c r="B42" s="297"/>
      <c r="C42" s="297"/>
      <c r="D42" s="297"/>
      <c r="E42" s="297"/>
      <c r="F42" s="297"/>
      <c r="G42" s="297"/>
      <c r="H42" s="297"/>
      <c r="Y42" s="297"/>
      <c r="Z42" s="297"/>
      <c r="AA42" s="297"/>
      <c r="AB42" s="297"/>
      <c r="AC42" s="297"/>
      <c r="AD42" s="297"/>
    </row>
    <row r="43" spans="1:30" x14ac:dyDescent="0.3">
      <c r="A43" s="297"/>
      <c r="B43" s="297"/>
      <c r="C43" s="297"/>
      <c r="D43" s="297"/>
      <c r="E43" s="297"/>
      <c r="F43" s="297"/>
      <c r="G43" s="297"/>
      <c r="H43" s="297"/>
      <c r="Y43" s="297"/>
      <c r="Z43" s="297"/>
      <c r="AA43" s="297"/>
      <c r="AB43" s="297"/>
      <c r="AC43" s="297"/>
      <c r="AD43" s="297"/>
    </row>
    <row r="44" spans="1:30" x14ac:dyDescent="0.3">
      <c r="A44" s="297"/>
      <c r="B44" s="297"/>
      <c r="C44" s="297"/>
      <c r="D44" s="297"/>
      <c r="E44" s="297"/>
      <c r="F44" s="297"/>
      <c r="G44" s="297"/>
      <c r="H44" s="297"/>
      <c r="Y44" s="297"/>
      <c r="Z44" s="297"/>
      <c r="AA44" s="297"/>
      <c r="AB44" s="297"/>
      <c r="AC44" s="297"/>
      <c r="AD44" s="297"/>
    </row>
    <row r="45" spans="1:30" x14ac:dyDescent="0.3">
      <c r="A45" s="297"/>
      <c r="B45" s="297"/>
      <c r="C45" s="297"/>
      <c r="D45" s="297"/>
      <c r="E45" s="297"/>
      <c r="F45" s="297"/>
      <c r="G45" s="297"/>
      <c r="H45" s="297"/>
      <c r="Y45" s="297"/>
      <c r="Z45" s="297"/>
      <c r="AA45" s="297"/>
      <c r="AB45" s="297"/>
      <c r="AC45" s="297"/>
      <c r="AD45" s="297"/>
    </row>
    <row r="46" spans="1:30" x14ac:dyDescent="0.3">
      <c r="A46" s="297"/>
      <c r="B46" s="297"/>
      <c r="C46" s="297"/>
      <c r="D46" s="297"/>
      <c r="E46" s="297"/>
      <c r="F46" s="297"/>
      <c r="G46" s="297"/>
      <c r="H46" s="297"/>
      <c r="Y46" s="297"/>
      <c r="Z46" s="297"/>
      <c r="AA46" s="297"/>
      <c r="AB46" s="297"/>
      <c r="AC46" s="297"/>
      <c r="AD46" s="297"/>
    </row>
    <row r="47" spans="1:30" x14ac:dyDescent="0.3">
      <c r="A47" s="297"/>
      <c r="B47" s="297"/>
      <c r="C47" s="297"/>
      <c r="D47" s="297"/>
      <c r="E47" s="297"/>
      <c r="F47" s="297"/>
      <c r="G47" s="297"/>
      <c r="H47" s="297"/>
      <c r="Y47" s="297"/>
      <c r="Z47" s="297"/>
      <c r="AA47" s="297"/>
      <c r="AB47" s="297"/>
      <c r="AC47" s="297"/>
      <c r="AD47" s="297"/>
    </row>
    <row r="48" spans="1:30" x14ac:dyDescent="0.3">
      <c r="A48" s="297"/>
      <c r="B48" s="297"/>
      <c r="C48" s="297"/>
      <c r="D48" s="297"/>
      <c r="E48" s="297"/>
      <c r="F48" s="297"/>
      <c r="G48" s="297"/>
      <c r="H48" s="297"/>
      <c r="Y48" s="297"/>
      <c r="Z48" s="297"/>
      <c r="AA48" s="297"/>
      <c r="AB48" s="297"/>
      <c r="AC48" s="297"/>
      <c r="AD48" s="297"/>
    </row>
    <row r="49" spans="1:30" x14ac:dyDescent="0.3">
      <c r="A49" s="297"/>
      <c r="B49" s="297"/>
      <c r="C49" s="297"/>
      <c r="D49" s="297"/>
      <c r="E49" s="297"/>
      <c r="F49" s="297"/>
      <c r="G49" s="297"/>
      <c r="H49" s="297"/>
      <c r="Y49" s="297"/>
      <c r="Z49" s="297"/>
      <c r="AA49" s="297"/>
      <c r="AB49" s="297"/>
      <c r="AC49" s="297"/>
      <c r="AD49" s="297"/>
    </row>
    <row r="50" spans="1:30" x14ac:dyDescent="0.3">
      <c r="A50" s="297"/>
      <c r="B50" s="297"/>
      <c r="C50" s="297"/>
      <c r="D50" s="297"/>
      <c r="E50" s="297"/>
      <c r="F50" s="297"/>
      <c r="G50" s="297"/>
      <c r="H50" s="297"/>
      <c r="Y50" s="297"/>
      <c r="Z50" s="297"/>
      <c r="AA50" s="297"/>
      <c r="AB50" s="297"/>
      <c r="AC50" s="297"/>
      <c r="AD50" s="297"/>
    </row>
    <row r="51" spans="1:30" x14ac:dyDescent="0.3">
      <c r="A51" s="297"/>
      <c r="B51" s="297"/>
      <c r="C51" s="297"/>
      <c r="D51" s="297"/>
      <c r="E51" s="297"/>
      <c r="F51" s="297"/>
      <c r="G51" s="297"/>
      <c r="H51" s="297"/>
      <c r="Y51" s="297"/>
      <c r="Z51" s="297"/>
      <c r="AA51" s="297"/>
      <c r="AB51" s="297"/>
      <c r="AC51" s="297"/>
      <c r="AD51" s="297"/>
    </row>
    <row r="52" spans="1:30" x14ac:dyDescent="0.3">
      <c r="A52" s="297"/>
      <c r="B52" s="297"/>
      <c r="C52" s="297"/>
      <c r="D52" s="297"/>
      <c r="E52" s="297"/>
      <c r="F52" s="297"/>
      <c r="G52" s="297"/>
      <c r="H52" s="297"/>
      <c r="Y52" s="297"/>
      <c r="Z52" s="297"/>
      <c r="AA52" s="297"/>
      <c r="AB52" s="297"/>
      <c r="AC52" s="297"/>
      <c r="AD52" s="297"/>
    </row>
    <row r="53" spans="1:30" x14ac:dyDescent="0.3">
      <c r="A53" s="297"/>
      <c r="B53" s="297"/>
      <c r="C53" s="297"/>
      <c r="D53" s="297"/>
      <c r="E53" s="297"/>
      <c r="F53" s="297"/>
      <c r="G53" s="297"/>
      <c r="H53" s="297"/>
      <c r="Y53" s="297"/>
      <c r="Z53" s="297"/>
      <c r="AA53" s="297"/>
      <c r="AB53" s="297"/>
      <c r="AC53" s="297"/>
      <c r="AD53" s="297"/>
    </row>
    <row r="54" spans="1:30" x14ac:dyDescent="0.3">
      <c r="A54" s="297"/>
      <c r="B54" s="297"/>
      <c r="C54" s="297"/>
      <c r="D54" s="297"/>
      <c r="E54" s="297"/>
      <c r="F54" s="297"/>
      <c r="G54" s="297"/>
      <c r="H54" s="297"/>
      <c r="Y54" s="297"/>
      <c r="Z54" s="297"/>
      <c r="AA54" s="297"/>
      <c r="AB54" s="297"/>
      <c r="AC54" s="297"/>
      <c r="AD54" s="297"/>
    </row>
    <row r="55" spans="1:30" x14ac:dyDescent="0.3">
      <c r="A55" s="297"/>
      <c r="B55" s="297"/>
      <c r="C55" s="297"/>
      <c r="D55" s="297"/>
      <c r="E55" s="297"/>
      <c r="F55" s="297"/>
      <c r="G55" s="297"/>
      <c r="H55" s="297"/>
      <c r="Y55" s="297"/>
      <c r="Z55" s="297"/>
      <c r="AA55" s="297"/>
      <c r="AB55" s="297"/>
      <c r="AC55" s="297"/>
      <c r="AD55" s="297"/>
    </row>
    <row r="56" spans="1:30" x14ac:dyDescent="0.3">
      <c r="A56" s="297"/>
      <c r="B56" s="297"/>
      <c r="C56" s="297"/>
      <c r="D56" s="297"/>
      <c r="E56" s="297"/>
      <c r="F56" s="297"/>
      <c r="G56" s="297"/>
      <c r="H56" s="297"/>
      <c r="Y56" s="297"/>
      <c r="Z56" s="297"/>
      <c r="AA56" s="297"/>
      <c r="AB56" s="297"/>
      <c r="AC56" s="297"/>
      <c r="AD56" s="297"/>
    </row>
    <row r="57" spans="1:30" x14ac:dyDescent="0.3">
      <c r="A57" s="297"/>
      <c r="B57" s="297"/>
      <c r="C57" s="297"/>
      <c r="D57" s="297"/>
      <c r="E57" s="297"/>
      <c r="F57" s="297"/>
      <c r="G57" s="297"/>
      <c r="H57" s="297"/>
      <c r="Y57" s="297"/>
      <c r="Z57" s="297"/>
      <c r="AA57" s="297"/>
      <c r="AB57" s="297"/>
      <c r="AC57" s="297"/>
      <c r="AD57" s="297"/>
    </row>
    <row r="58" spans="1:30" x14ac:dyDescent="0.3">
      <c r="A58" s="297"/>
      <c r="B58" s="297"/>
      <c r="C58" s="297"/>
      <c r="D58" s="297"/>
      <c r="E58" s="297"/>
      <c r="F58" s="297"/>
      <c r="G58" s="297"/>
      <c r="H58" s="297"/>
      <c r="Y58" s="297"/>
      <c r="Z58" s="297"/>
      <c r="AA58" s="297"/>
      <c r="AB58" s="297"/>
      <c r="AC58" s="297"/>
      <c r="AD58" s="297"/>
    </row>
    <row r="59" spans="1:30" x14ac:dyDescent="0.3">
      <c r="A59" s="297"/>
      <c r="B59" s="297"/>
      <c r="C59" s="297"/>
      <c r="D59" s="297"/>
      <c r="E59" s="297"/>
      <c r="F59" s="297"/>
      <c r="G59" s="297"/>
      <c r="H59" s="297"/>
      <c r="Y59" s="297"/>
      <c r="Z59" s="297"/>
      <c r="AA59" s="297"/>
      <c r="AB59" s="297"/>
      <c r="AC59" s="297"/>
      <c r="AD59" s="297"/>
    </row>
    <row r="60" spans="1:30" x14ac:dyDescent="0.3">
      <c r="A60" s="297"/>
      <c r="B60" s="297"/>
      <c r="C60" s="297"/>
      <c r="D60" s="297"/>
      <c r="E60" s="297"/>
      <c r="F60" s="297"/>
      <c r="G60" s="297"/>
      <c r="H60" s="297"/>
      <c r="Y60" s="297"/>
      <c r="Z60" s="297"/>
      <c r="AA60" s="297"/>
      <c r="AB60" s="297"/>
      <c r="AC60" s="297"/>
      <c r="AD60" s="297"/>
    </row>
    <row r="61" spans="1:30" x14ac:dyDescent="0.3">
      <c r="A61" s="297"/>
      <c r="B61" s="297"/>
      <c r="C61" s="297"/>
      <c r="D61" s="297"/>
      <c r="E61" s="297"/>
      <c r="F61" s="297"/>
      <c r="G61" s="297"/>
      <c r="H61" s="297"/>
      <c r="Y61" s="297"/>
      <c r="Z61" s="297"/>
      <c r="AA61" s="297"/>
      <c r="AB61" s="297"/>
      <c r="AC61" s="297"/>
      <c r="AD61" s="297"/>
    </row>
    <row r="62" spans="1:30" x14ac:dyDescent="0.3">
      <c r="A62" s="297"/>
      <c r="B62" s="297"/>
      <c r="C62" s="297"/>
      <c r="D62" s="297"/>
      <c r="E62" s="297"/>
      <c r="F62" s="297"/>
      <c r="G62" s="297"/>
      <c r="H62" s="297"/>
      <c r="Y62" s="297"/>
      <c r="Z62" s="297"/>
      <c r="AA62" s="297"/>
      <c r="AB62" s="297"/>
      <c r="AC62" s="297"/>
      <c r="AD62" s="297"/>
    </row>
    <row r="63" spans="1:30" x14ac:dyDescent="0.3">
      <c r="A63" s="297"/>
      <c r="B63" s="297"/>
      <c r="C63" s="297"/>
      <c r="D63" s="297"/>
      <c r="E63" s="297"/>
      <c r="F63" s="297"/>
      <c r="G63" s="297"/>
      <c r="H63" s="297"/>
      <c r="Y63" s="297"/>
      <c r="Z63" s="297"/>
      <c r="AA63" s="297"/>
      <c r="AB63" s="297"/>
      <c r="AC63" s="297"/>
      <c r="AD63" s="297"/>
    </row>
    <row r="64" spans="1:30" x14ac:dyDescent="0.3">
      <c r="A64" s="297"/>
      <c r="B64" s="297"/>
      <c r="C64" s="297"/>
      <c r="D64" s="297"/>
      <c r="E64" s="297"/>
      <c r="F64" s="297"/>
      <c r="G64" s="297"/>
      <c r="H64" s="297"/>
      <c r="Y64" s="297"/>
      <c r="Z64" s="297"/>
      <c r="AA64" s="297"/>
      <c r="AB64" s="297"/>
      <c r="AC64" s="297"/>
      <c r="AD64" s="297"/>
    </row>
    <row r="65" spans="1:30" x14ac:dyDescent="0.3">
      <c r="A65" s="297"/>
      <c r="B65" s="297"/>
      <c r="C65" s="297"/>
      <c r="D65" s="297"/>
      <c r="E65" s="297"/>
      <c r="F65" s="297"/>
      <c r="G65" s="297"/>
      <c r="H65" s="297"/>
      <c r="Y65" s="297"/>
      <c r="Z65" s="297"/>
      <c r="AA65" s="297"/>
      <c r="AB65" s="297"/>
      <c r="AC65" s="297"/>
      <c r="AD65" s="297"/>
    </row>
    <row r="66" spans="1:30" x14ac:dyDescent="0.3">
      <c r="A66" s="297"/>
      <c r="B66" s="297"/>
      <c r="C66" s="297"/>
      <c r="D66" s="297"/>
      <c r="E66" s="297"/>
      <c r="F66" s="297"/>
      <c r="G66" s="297"/>
      <c r="H66" s="297"/>
      <c r="Y66" s="297"/>
      <c r="Z66" s="297"/>
      <c r="AA66" s="297"/>
      <c r="AB66" s="297"/>
      <c r="AC66" s="297"/>
      <c r="AD66" s="297"/>
    </row>
    <row r="67" spans="1:30" x14ac:dyDescent="0.3">
      <c r="A67" s="297"/>
      <c r="B67" s="297"/>
      <c r="C67" s="297"/>
      <c r="D67" s="297"/>
      <c r="E67" s="297"/>
      <c r="F67" s="297"/>
      <c r="G67" s="297"/>
      <c r="H67" s="297"/>
      <c r="Y67" s="297"/>
      <c r="Z67" s="297"/>
      <c r="AA67" s="297"/>
      <c r="AB67" s="297"/>
      <c r="AC67" s="297"/>
      <c r="AD67" s="297"/>
    </row>
    <row r="68" spans="1:30" x14ac:dyDescent="0.3">
      <c r="A68" s="297"/>
      <c r="B68" s="297"/>
      <c r="C68" s="297"/>
      <c r="D68" s="297"/>
      <c r="E68" s="297"/>
      <c r="F68" s="297"/>
      <c r="G68" s="297"/>
      <c r="H68" s="297"/>
      <c r="Y68" s="297"/>
      <c r="Z68" s="297"/>
      <c r="AA68" s="297"/>
      <c r="AB68" s="297"/>
      <c r="AC68" s="297"/>
      <c r="AD68" s="297"/>
    </row>
    <row r="69" spans="1:30" x14ac:dyDescent="0.3">
      <c r="A69" s="297"/>
      <c r="B69" s="297"/>
      <c r="C69" s="297"/>
      <c r="D69" s="297"/>
      <c r="E69" s="297"/>
      <c r="F69" s="297"/>
      <c r="G69" s="297"/>
      <c r="H69" s="297"/>
      <c r="Y69" s="297"/>
      <c r="Z69" s="297"/>
      <c r="AA69" s="297"/>
      <c r="AB69" s="297"/>
      <c r="AC69" s="297"/>
      <c r="AD69" s="297"/>
    </row>
    <row r="70" spans="1:30" x14ac:dyDescent="0.3">
      <c r="A70" s="297"/>
      <c r="B70" s="297"/>
      <c r="C70" s="297"/>
      <c r="D70" s="297"/>
      <c r="E70" s="297"/>
      <c r="F70" s="297"/>
      <c r="G70" s="297"/>
      <c r="H70" s="297"/>
      <c r="Y70" s="297"/>
      <c r="Z70" s="297"/>
      <c r="AA70" s="297"/>
      <c r="AB70" s="297"/>
      <c r="AC70" s="297"/>
      <c r="AD70" s="297"/>
    </row>
    <row r="71" spans="1:30" x14ac:dyDescent="0.3">
      <c r="A71" s="297"/>
      <c r="B71" s="297"/>
      <c r="C71" s="297"/>
      <c r="D71" s="297"/>
      <c r="E71" s="297"/>
      <c r="F71" s="297"/>
      <c r="G71" s="297"/>
      <c r="H71" s="297"/>
      <c r="Y71" s="297"/>
      <c r="Z71" s="297"/>
      <c r="AA71" s="297"/>
      <c r="AB71" s="297"/>
      <c r="AC71" s="297"/>
      <c r="AD71" s="297"/>
    </row>
    <row r="72" spans="1:30" x14ac:dyDescent="0.3">
      <c r="A72" s="297"/>
      <c r="B72" s="297"/>
      <c r="C72" s="297"/>
      <c r="D72" s="297"/>
      <c r="E72" s="297"/>
      <c r="F72" s="297"/>
      <c r="G72" s="297"/>
      <c r="H72" s="297"/>
      <c r="Y72" s="297"/>
      <c r="Z72" s="297"/>
      <c r="AA72" s="297"/>
      <c r="AB72" s="297"/>
      <c r="AC72" s="297"/>
      <c r="AD72" s="297"/>
    </row>
    <row r="73" spans="1:30" x14ac:dyDescent="0.3">
      <c r="A73" s="297"/>
      <c r="B73" s="297"/>
      <c r="C73" s="297"/>
      <c r="D73" s="297"/>
      <c r="E73" s="297"/>
      <c r="F73" s="297"/>
      <c r="G73" s="297"/>
      <c r="H73" s="297"/>
      <c r="Y73" s="297"/>
      <c r="Z73" s="297"/>
      <c r="AA73" s="297"/>
      <c r="AB73" s="297"/>
      <c r="AC73" s="297"/>
      <c r="AD73" s="297"/>
    </row>
    <row r="74" spans="1:30" x14ac:dyDescent="0.3">
      <c r="A74" s="297"/>
      <c r="B74" s="297"/>
      <c r="C74" s="297"/>
      <c r="D74" s="297"/>
      <c r="E74" s="297"/>
      <c r="F74" s="297"/>
      <c r="G74" s="297"/>
      <c r="H74" s="297"/>
      <c r="Y74" s="297"/>
      <c r="Z74" s="297"/>
      <c r="AA74" s="297"/>
      <c r="AB74" s="297"/>
      <c r="AC74" s="297"/>
      <c r="AD74" s="297"/>
    </row>
    <row r="75" spans="1:30" x14ac:dyDescent="0.3">
      <c r="A75" s="297"/>
      <c r="B75" s="297"/>
      <c r="C75" s="297"/>
      <c r="D75" s="297"/>
      <c r="E75" s="297"/>
      <c r="F75" s="297"/>
      <c r="G75" s="297"/>
      <c r="H75" s="297"/>
      <c r="Y75" s="297"/>
      <c r="Z75" s="297"/>
      <c r="AA75" s="297"/>
      <c r="AB75" s="297"/>
      <c r="AC75" s="297"/>
      <c r="AD75" s="297"/>
    </row>
    <row r="76" spans="1:30" x14ac:dyDescent="0.3">
      <c r="A76" s="297"/>
      <c r="B76" s="297"/>
      <c r="C76" s="297"/>
      <c r="D76" s="297"/>
      <c r="E76" s="297"/>
      <c r="F76" s="297"/>
      <c r="G76" s="297"/>
      <c r="H76" s="297"/>
      <c r="Y76" s="297"/>
      <c r="Z76" s="297"/>
      <c r="AA76" s="297"/>
      <c r="AB76" s="297"/>
      <c r="AC76" s="297"/>
      <c r="AD76" s="297"/>
    </row>
    <row r="77" spans="1:30" x14ac:dyDescent="0.3">
      <c r="A77" s="297"/>
      <c r="B77" s="297"/>
      <c r="C77" s="297"/>
      <c r="D77" s="297"/>
      <c r="E77" s="297"/>
      <c r="F77" s="297"/>
      <c r="G77" s="297"/>
      <c r="H77" s="297"/>
      <c r="Y77" s="297"/>
      <c r="Z77" s="297"/>
      <c r="AA77" s="297"/>
      <c r="AB77" s="297"/>
      <c r="AC77" s="297"/>
      <c r="AD77" s="297"/>
    </row>
    <row r="78" spans="1:30" x14ac:dyDescent="0.3">
      <c r="A78" s="297"/>
      <c r="B78" s="297"/>
      <c r="C78" s="297"/>
      <c r="D78" s="297"/>
      <c r="E78" s="297"/>
      <c r="F78" s="297"/>
      <c r="G78" s="297"/>
      <c r="H78" s="297"/>
      <c r="Y78" s="297"/>
      <c r="Z78" s="297"/>
      <c r="AA78" s="297"/>
      <c r="AB78" s="297"/>
      <c r="AC78" s="297"/>
      <c r="AD78" s="297"/>
    </row>
    <row r="79" spans="1:30" x14ac:dyDescent="0.3">
      <c r="A79" s="297"/>
      <c r="B79" s="297"/>
      <c r="C79" s="297"/>
      <c r="D79" s="297"/>
      <c r="E79" s="297"/>
      <c r="F79" s="297"/>
      <c r="G79" s="297"/>
      <c r="H79" s="297"/>
      <c r="Y79" s="297"/>
      <c r="Z79" s="297"/>
      <c r="AA79" s="297"/>
      <c r="AB79" s="297"/>
      <c r="AC79" s="297"/>
      <c r="AD79" s="297"/>
    </row>
    <row r="80" spans="1:30" x14ac:dyDescent="0.3">
      <c r="A80" s="297"/>
      <c r="B80" s="297"/>
      <c r="C80" s="297"/>
      <c r="D80" s="297"/>
      <c r="E80" s="297"/>
      <c r="F80" s="297"/>
      <c r="G80" s="297"/>
      <c r="H80" s="297"/>
      <c r="Y80" s="297"/>
      <c r="Z80" s="297"/>
      <c r="AA80" s="297"/>
      <c r="AB80" s="297"/>
      <c r="AC80" s="297"/>
      <c r="AD80" s="297"/>
    </row>
    <row r="81" spans="1:30" x14ac:dyDescent="0.3">
      <c r="A81" s="297"/>
      <c r="B81" s="297"/>
      <c r="C81" s="297"/>
      <c r="D81" s="297"/>
      <c r="E81" s="297"/>
      <c r="F81" s="297"/>
      <c r="G81" s="297"/>
      <c r="H81" s="297"/>
      <c r="Y81" s="297"/>
      <c r="Z81" s="297"/>
      <c r="AA81" s="297"/>
      <c r="AB81" s="297"/>
      <c r="AC81" s="297"/>
      <c r="AD81" s="297"/>
    </row>
    <row r="82" spans="1:30" x14ac:dyDescent="0.3">
      <c r="A82" s="297"/>
      <c r="B82" s="297"/>
      <c r="C82" s="297"/>
      <c r="D82" s="297"/>
      <c r="E82" s="297"/>
      <c r="F82" s="297"/>
      <c r="G82" s="297"/>
      <c r="H82" s="297"/>
      <c r="Y82" s="297"/>
      <c r="Z82" s="297"/>
      <c r="AA82" s="297"/>
      <c r="AB82" s="297"/>
      <c r="AC82" s="297"/>
      <c r="AD82" s="297"/>
    </row>
    <row r="83" spans="1:30" x14ac:dyDescent="0.3">
      <c r="A83" s="297"/>
      <c r="B83" s="297"/>
      <c r="C83" s="297"/>
      <c r="D83" s="297"/>
      <c r="E83" s="297"/>
      <c r="F83" s="297"/>
      <c r="G83" s="297"/>
      <c r="H83" s="297"/>
      <c r="Y83" s="297"/>
      <c r="Z83" s="297"/>
      <c r="AA83" s="297"/>
      <c r="AB83" s="297"/>
      <c r="AC83" s="297"/>
      <c r="AD83" s="297"/>
    </row>
    <row r="84" spans="1:30" x14ac:dyDescent="0.3">
      <c r="A84" s="297"/>
      <c r="B84" s="297"/>
      <c r="C84" s="297"/>
      <c r="D84" s="297"/>
      <c r="E84" s="297"/>
      <c r="F84" s="297"/>
      <c r="G84" s="297"/>
      <c r="H84" s="297"/>
      <c r="Y84" s="297"/>
      <c r="Z84" s="297"/>
      <c r="AA84" s="297"/>
      <c r="AB84" s="297"/>
      <c r="AC84" s="297"/>
      <c r="AD84" s="297"/>
    </row>
    <row r="85" spans="1:30" x14ac:dyDescent="0.3">
      <c r="A85" s="297"/>
      <c r="B85" s="297"/>
      <c r="C85" s="297"/>
      <c r="D85" s="297"/>
      <c r="E85" s="297"/>
      <c r="F85" s="297"/>
      <c r="G85" s="297"/>
      <c r="H85" s="297"/>
      <c r="Y85" s="297"/>
      <c r="Z85" s="297"/>
      <c r="AA85" s="297"/>
      <c r="AB85" s="297"/>
      <c r="AC85" s="297"/>
      <c r="AD85" s="297"/>
    </row>
    <row r="86" spans="1:30" x14ac:dyDescent="0.3">
      <c r="A86" s="297"/>
      <c r="B86" s="297"/>
      <c r="C86" s="297"/>
      <c r="D86" s="297"/>
      <c r="E86" s="297"/>
      <c r="F86" s="297"/>
      <c r="G86" s="297"/>
      <c r="H86" s="297"/>
      <c r="Y86" s="297"/>
      <c r="Z86" s="297"/>
      <c r="AA86" s="297"/>
      <c r="AB86" s="297"/>
      <c r="AC86" s="297"/>
      <c r="AD86" s="297"/>
    </row>
    <row r="87" spans="1:30" x14ac:dyDescent="0.3">
      <c r="A87" s="297"/>
      <c r="B87" s="297"/>
      <c r="C87" s="297"/>
      <c r="D87" s="297"/>
      <c r="E87" s="297"/>
      <c r="F87" s="297"/>
      <c r="G87" s="297"/>
      <c r="H87" s="297"/>
      <c r="Y87" s="297"/>
      <c r="Z87" s="297"/>
      <c r="AA87" s="297"/>
      <c r="AB87" s="297"/>
      <c r="AC87" s="297"/>
      <c r="AD87" s="297"/>
    </row>
    <row r="88" spans="1:30" x14ac:dyDescent="0.3">
      <c r="A88" s="297"/>
      <c r="B88" s="297"/>
      <c r="C88" s="297"/>
      <c r="D88" s="297"/>
      <c r="E88" s="297"/>
      <c r="F88" s="297"/>
      <c r="G88" s="297"/>
      <c r="H88" s="297"/>
      <c r="Y88" s="297"/>
      <c r="Z88" s="297"/>
      <c r="AA88" s="297"/>
      <c r="AB88" s="297"/>
      <c r="AC88" s="297"/>
      <c r="AD88" s="297"/>
    </row>
    <row r="89" spans="1:30" x14ac:dyDescent="0.3">
      <c r="A89" s="297"/>
      <c r="B89" s="297"/>
      <c r="C89" s="297"/>
      <c r="D89" s="297"/>
      <c r="E89" s="297"/>
      <c r="F89" s="297"/>
      <c r="G89" s="297"/>
      <c r="H89" s="297"/>
      <c r="Y89" s="297"/>
      <c r="Z89" s="297"/>
      <c r="AA89" s="297"/>
      <c r="AB89" s="297"/>
      <c r="AC89" s="297"/>
      <c r="AD89" s="297"/>
    </row>
    <row r="90" spans="1:30" x14ac:dyDescent="0.3">
      <c r="A90" s="297"/>
      <c r="B90" s="297"/>
      <c r="C90" s="297"/>
      <c r="D90" s="297"/>
      <c r="E90" s="297"/>
      <c r="F90" s="297"/>
      <c r="G90" s="297"/>
      <c r="H90" s="297"/>
      <c r="Y90" s="297"/>
      <c r="Z90" s="297"/>
      <c r="AA90" s="297"/>
      <c r="AB90" s="297"/>
      <c r="AC90" s="297"/>
      <c r="AD90" s="297"/>
    </row>
    <row r="91" spans="1:30" x14ac:dyDescent="0.3">
      <c r="A91" s="297"/>
      <c r="B91" s="297"/>
      <c r="C91" s="297"/>
      <c r="D91" s="297"/>
      <c r="E91" s="297"/>
      <c r="F91" s="297"/>
      <c r="G91" s="297"/>
      <c r="H91" s="297"/>
      <c r="Y91" s="297"/>
      <c r="Z91" s="297"/>
      <c r="AA91" s="297"/>
      <c r="AB91" s="297"/>
      <c r="AC91" s="297"/>
      <c r="AD91" s="297"/>
    </row>
    <row r="92" spans="1:30" x14ac:dyDescent="0.3">
      <c r="A92" s="297"/>
      <c r="B92" s="297"/>
      <c r="C92" s="297"/>
      <c r="D92" s="297"/>
      <c r="E92" s="297"/>
      <c r="F92" s="297"/>
      <c r="G92" s="297"/>
      <c r="H92" s="297"/>
      <c r="Y92" s="297"/>
      <c r="Z92" s="297"/>
      <c r="AA92" s="297"/>
      <c r="AB92" s="297"/>
      <c r="AC92" s="297"/>
      <c r="AD92" s="297"/>
    </row>
    <row r="93" spans="1:30" x14ac:dyDescent="0.3">
      <c r="A93" s="297"/>
      <c r="B93" s="297"/>
      <c r="C93" s="297"/>
      <c r="D93" s="297"/>
      <c r="E93" s="297"/>
      <c r="F93" s="297"/>
      <c r="G93" s="297"/>
      <c r="H93" s="297"/>
      <c r="Y93" s="297"/>
      <c r="Z93" s="297"/>
      <c r="AA93" s="297"/>
      <c r="AB93" s="297"/>
      <c r="AC93" s="297"/>
      <c r="AD93" s="297"/>
    </row>
    <row r="94" spans="1:30" x14ac:dyDescent="0.3">
      <c r="A94" s="297"/>
      <c r="B94" s="297"/>
      <c r="C94" s="297"/>
      <c r="D94" s="297"/>
      <c r="E94" s="297"/>
      <c r="F94" s="297"/>
      <c r="G94" s="297"/>
      <c r="H94" s="297"/>
      <c r="Y94" s="297"/>
      <c r="Z94" s="297"/>
      <c r="AA94" s="297"/>
      <c r="AB94" s="297"/>
      <c r="AC94" s="297"/>
      <c r="AD94" s="297"/>
    </row>
    <row r="95" spans="1:30" x14ac:dyDescent="0.3">
      <c r="A95" s="297"/>
      <c r="B95" s="297"/>
      <c r="C95" s="297"/>
      <c r="D95" s="297"/>
      <c r="E95" s="297"/>
      <c r="F95" s="297"/>
      <c r="G95" s="297"/>
      <c r="H95" s="297"/>
      <c r="Y95" s="297"/>
      <c r="Z95" s="297"/>
      <c r="AA95" s="297"/>
      <c r="AB95" s="297"/>
      <c r="AC95" s="297"/>
      <c r="AD95" s="297"/>
    </row>
    <row r="96" spans="1:30" x14ac:dyDescent="0.3">
      <c r="A96" s="297"/>
      <c r="B96" s="297"/>
      <c r="C96" s="297"/>
      <c r="D96" s="297"/>
      <c r="E96" s="297"/>
      <c r="F96" s="297"/>
      <c r="G96" s="297"/>
      <c r="H96" s="297"/>
      <c r="Y96" s="297"/>
      <c r="Z96" s="297"/>
      <c r="AA96" s="297"/>
      <c r="AB96" s="297"/>
      <c r="AC96" s="297"/>
      <c r="AD96" s="297"/>
    </row>
    <row r="97" spans="1:30" x14ac:dyDescent="0.3">
      <c r="A97" s="297"/>
      <c r="B97" s="297"/>
      <c r="C97" s="297"/>
      <c r="D97" s="297"/>
      <c r="E97" s="297"/>
      <c r="F97" s="297"/>
      <c r="G97" s="297"/>
      <c r="H97" s="297"/>
      <c r="Y97" s="297"/>
      <c r="Z97" s="297"/>
      <c r="AA97" s="297"/>
      <c r="AB97" s="297"/>
      <c r="AC97" s="297"/>
      <c r="AD97" s="297"/>
    </row>
    <row r="98" spans="1:30" x14ac:dyDescent="0.3">
      <c r="A98" s="297"/>
      <c r="B98" s="297"/>
      <c r="C98" s="297"/>
      <c r="D98" s="297"/>
      <c r="E98" s="297"/>
      <c r="F98" s="297"/>
      <c r="G98" s="297"/>
      <c r="H98" s="297"/>
      <c r="Y98" s="297"/>
      <c r="Z98" s="297"/>
      <c r="AA98" s="297"/>
      <c r="AB98" s="297"/>
      <c r="AC98" s="297"/>
      <c r="AD98" s="297"/>
    </row>
    <row r="99" spans="1:30" x14ac:dyDescent="0.3">
      <c r="A99" s="297"/>
      <c r="B99" s="297"/>
      <c r="C99" s="297"/>
      <c r="D99" s="297"/>
      <c r="E99" s="297"/>
      <c r="F99" s="297"/>
      <c r="G99" s="297"/>
      <c r="H99" s="297"/>
      <c r="Y99" s="297"/>
      <c r="Z99" s="297"/>
      <c r="AA99" s="297"/>
      <c r="AB99" s="297"/>
      <c r="AC99" s="297"/>
      <c r="AD99" s="297"/>
    </row>
    <row r="100" spans="1:30" x14ac:dyDescent="0.3">
      <c r="A100" s="297"/>
      <c r="B100" s="297"/>
      <c r="C100" s="297"/>
      <c r="D100" s="297"/>
      <c r="E100" s="297"/>
      <c r="F100" s="297"/>
      <c r="G100" s="297"/>
      <c r="H100" s="297"/>
      <c r="Y100" s="297"/>
      <c r="Z100" s="297"/>
      <c r="AA100" s="297"/>
      <c r="AB100" s="297"/>
      <c r="AC100" s="297"/>
      <c r="AD100" s="297"/>
    </row>
    <row r="101" spans="1:30" x14ac:dyDescent="0.3">
      <c r="A101" s="297"/>
      <c r="B101" s="297"/>
      <c r="C101" s="297"/>
      <c r="D101" s="297"/>
      <c r="E101" s="297"/>
      <c r="F101" s="297"/>
      <c r="G101" s="297"/>
      <c r="H101" s="297"/>
      <c r="Y101" s="297"/>
      <c r="Z101" s="297"/>
      <c r="AA101" s="297"/>
      <c r="AB101" s="297"/>
      <c r="AC101" s="297"/>
      <c r="AD101" s="297"/>
    </row>
    <row r="102" spans="1:30" x14ac:dyDescent="0.3">
      <c r="A102" s="297"/>
      <c r="B102" s="297"/>
      <c r="C102" s="297"/>
      <c r="D102" s="297"/>
      <c r="E102" s="297"/>
      <c r="F102" s="297"/>
      <c r="G102" s="297"/>
      <c r="H102" s="297"/>
      <c r="Y102" s="297"/>
      <c r="Z102" s="297"/>
      <c r="AA102" s="297"/>
      <c r="AB102" s="297"/>
      <c r="AC102" s="297"/>
      <c r="AD102" s="297"/>
    </row>
    <row r="103" spans="1:30" x14ac:dyDescent="0.3">
      <c r="A103" s="297"/>
      <c r="B103" s="297"/>
      <c r="C103" s="297"/>
      <c r="D103" s="297"/>
      <c r="E103" s="297"/>
      <c r="F103" s="297"/>
      <c r="G103" s="297"/>
      <c r="H103" s="297"/>
      <c r="Y103" s="297"/>
      <c r="Z103" s="297"/>
      <c r="AA103" s="297"/>
      <c r="AB103" s="297"/>
      <c r="AC103" s="297"/>
      <c r="AD103" s="297"/>
    </row>
    <row r="104" spans="1:30" x14ac:dyDescent="0.3">
      <c r="A104" s="297"/>
      <c r="B104" s="297"/>
      <c r="C104" s="297"/>
      <c r="D104" s="297"/>
      <c r="E104" s="297"/>
      <c r="F104" s="297"/>
      <c r="G104" s="297"/>
      <c r="H104" s="297"/>
      <c r="Y104" s="297"/>
      <c r="Z104" s="297"/>
      <c r="AA104" s="297"/>
      <c r="AB104" s="297"/>
      <c r="AC104" s="297"/>
      <c r="AD104" s="297"/>
    </row>
    <row r="105" spans="1:30" x14ac:dyDescent="0.3">
      <c r="A105" s="297"/>
      <c r="B105" s="297"/>
      <c r="C105" s="297"/>
      <c r="D105" s="297"/>
      <c r="E105" s="297"/>
      <c r="F105" s="297"/>
      <c r="G105" s="297"/>
      <c r="H105" s="297"/>
      <c r="Y105" s="297"/>
      <c r="Z105" s="297"/>
      <c r="AA105" s="297"/>
      <c r="AB105" s="297"/>
      <c r="AC105" s="297"/>
      <c r="AD105" s="297"/>
    </row>
    <row r="106" spans="1:30" x14ac:dyDescent="0.3">
      <c r="A106" s="297"/>
      <c r="B106" s="297"/>
      <c r="C106" s="297"/>
      <c r="D106" s="297"/>
      <c r="E106" s="297"/>
      <c r="F106" s="297"/>
      <c r="G106" s="297"/>
      <c r="H106" s="297"/>
      <c r="Y106" s="297"/>
      <c r="Z106" s="297"/>
      <c r="AA106" s="297"/>
      <c r="AB106" s="297"/>
      <c r="AC106" s="297"/>
      <c r="AD106" s="297"/>
    </row>
    <row r="107" spans="1:30" x14ac:dyDescent="0.3">
      <c r="A107" s="297"/>
      <c r="B107" s="297"/>
      <c r="C107" s="297"/>
      <c r="D107" s="297"/>
      <c r="E107" s="297"/>
      <c r="F107" s="297"/>
      <c r="G107" s="297"/>
      <c r="H107" s="297"/>
      <c r="Y107" s="297"/>
      <c r="Z107" s="297"/>
      <c r="AA107" s="297"/>
      <c r="AB107" s="297"/>
      <c r="AC107" s="297"/>
      <c r="AD107" s="297"/>
    </row>
    <row r="108" spans="1:30" x14ac:dyDescent="0.3">
      <c r="A108" s="297"/>
      <c r="B108" s="297"/>
      <c r="C108" s="297"/>
      <c r="D108" s="297"/>
      <c r="E108" s="297"/>
      <c r="F108" s="297"/>
      <c r="G108" s="297"/>
      <c r="H108" s="297"/>
      <c r="Y108" s="297"/>
      <c r="Z108" s="297"/>
      <c r="AA108" s="297"/>
      <c r="AB108" s="297"/>
      <c r="AC108" s="297"/>
      <c r="AD108" s="297"/>
    </row>
    <row r="109" spans="1:30" x14ac:dyDescent="0.3">
      <c r="A109" s="297"/>
      <c r="B109" s="297"/>
      <c r="C109" s="297"/>
      <c r="D109" s="297"/>
      <c r="E109" s="297"/>
      <c r="F109" s="297"/>
      <c r="G109" s="297"/>
      <c r="H109" s="297"/>
      <c r="Y109" s="297"/>
      <c r="Z109" s="297"/>
      <c r="AA109" s="297"/>
      <c r="AB109" s="297"/>
      <c r="AC109" s="297"/>
      <c r="AD109" s="297"/>
    </row>
    <row r="110" spans="1:30" x14ac:dyDescent="0.3">
      <c r="A110" s="297"/>
      <c r="B110" s="297"/>
      <c r="C110" s="297"/>
      <c r="D110" s="297"/>
      <c r="E110" s="297"/>
      <c r="F110" s="297"/>
      <c r="G110" s="297"/>
      <c r="H110" s="297"/>
      <c r="Y110" s="297"/>
      <c r="Z110" s="297"/>
      <c r="AA110" s="297"/>
      <c r="AB110" s="297"/>
      <c r="AC110" s="297"/>
      <c r="AD110" s="297"/>
    </row>
    <row r="111" spans="1:30" x14ac:dyDescent="0.3">
      <c r="A111" s="297"/>
      <c r="B111" s="297"/>
      <c r="C111" s="297"/>
      <c r="D111" s="297"/>
      <c r="E111" s="297"/>
      <c r="F111" s="297"/>
      <c r="G111" s="297"/>
      <c r="H111" s="297"/>
      <c r="Y111" s="297"/>
      <c r="Z111" s="297"/>
      <c r="AA111" s="297"/>
      <c r="AB111" s="297"/>
      <c r="AC111" s="297"/>
      <c r="AD111" s="297"/>
    </row>
    <row r="112" spans="1:30" x14ac:dyDescent="0.3">
      <c r="A112" s="297"/>
      <c r="B112" s="297"/>
      <c r="C112" s="297"/>
      <c r="D112" s="297"/>
      <c r="E112" s="297"/>
      <c r="F112" s="297"/>
      <c r="G112" s="297"/>
      <c r="H112" s="297"/>
      <c r="Y112" s="297"/>
      <c r="Z112" s="297"/>
      <c r="AA112" s="297"/>
      <c r="AB112" s="297"/>
      <c r="AC112" s="297"/>
      <c r="AD112" s="297"/>
    </row>
    <row r="113" spans="1:30" x14ac:dyDescent="0.3">
      <c r="A113" s="297"/>
      <c r="B113" s="297"/>
      <c r="C113" s="297"/>
      <c r="D113" s="297"/>
      <c r="E113" s="297"/>
      <c r="F113" s="297"/>
      <c r="G113" s="297"/>
      <c r="H113" s="297"/>
      <c r="Y113" s="297"/>
      <c r="Z113" s="297"/>
      <c r="AA113" s="297"/>
      <c r="AB113" s="297"/>
      <c r="AC113" s="297"/>
      <c r="AD113" s="297"/>
    </row>
    <row r="114" spans="1:30" x14ac:dyDescent="0.3">
      <c r="A114" s="297"/>
      <c r="B114" s="297"/>
      <c r="C114" s="297"/>
      <c r="D114" s="297"/>
      <c r="E114" s="297"/>
      <c r="F114" s="297"/>
      <c r="G114" s="297"/>
      <c r="H114" s="297"/>
      <c r="Y114" s="297"/>
      <c r="Z114" s="297"/>
      <c r="AA114" s="297"/>
      <c r="AB114" s="297"/>
      <c r="AC114" s="297"/>
      <c r="AD114" s="297"/>
    </row>
    <row r="115" spans="1:30" x14ac:dyDescent="0.3">
      <c r="A115" s="297"/>
      <c r="B115" s="297"/>
      <c r="C115" s="297"/>
      <c r="D115" s="297"/>
      <c r="E115" s="297"/>
      <c r="F115" s="297"/>
      <c r="G115" s="297"/>
      <c r="H115" s="297"/>
      <c r="Y115" s="297"/>
      <c r="Z115" s="297"/>
      <c r="AA115" s="297"/>
      <c r="AB115" s="297"/>
      <c r="AC115" s="297"/>
      <c r="AD115" s="297"/>
    </row>
    <row r="116" spans="1:30" x14ac:dyDescent="0.3">
      <c r="A116" s="297"/>
      <c r="B116" s="297"/>
      <c r="C116" s="297"/>
      <c r="D116" s="297"/>
      <c r="E116" s="297"/>
      <c r="F116" s="297"/>
      <c r="G116" s="297"/>
      <c r="H116" s="297"/>
      <c r="Y116" s="297"/>
      <c r="Z116" s="297"/>
      <c r="AA116" s="297"/>
      <c r="AB116" s="297"/>
      <c r="AC116" s="297"/>
      <c r="AD116" s="297"/>
    </row>
    <row r="117" spans="1:30" x14ac:dyDescent="0.3">
      <c r="A117" s="297"/>
      <c r="B117" s="297"/>
      <c r="C117" s="297"/>
      <c r="D117" s="297"/>
      <c r="E117" s="297"/>
      <c r="F117" s="297"/>
      <c r="G117" s="297"/>
      <c r="H117" s="297"/>
      <c r="Y117" s="297"/>
      <c r="Z117" s="297"/>
      <c r="AA117" s="297"/>
      <c r="AB117" s="297"/>
      <c r="AC117" s="297"/>
      <c r="AD117" s="297"/>
    </row>
    <row r="118" spans="1:30" x14ac:dyDescent="0.3">
      <c r="A118" s="297"/>
      <c r="B118" s="297"/>
      <c r="C118" s="297"/>
      <c r="D118" s="297"/>
      <c r="E118" s="297"/>
      <c r="F118" s="297"/>
      <c r="G118" s="297"/>
      <c r="H118" s="297"/>
      <c r="Y118" s="297"/>
      <c r="Z118" s="297"/>
      <c r="AA118" s="297"/>
      <c r="AB118" s="297"/>
      <c r="AC118" s="297"/>
      <c r="AD118" s="297"/>
    </row>
    <row r="119" spans="1:30" x14ac:dyDescent="0.3">
      <c r="A119" s="297"/>
      <c r="B119" s="297"/>
      <c r="C119" s="297"/>
      <c r="D119" s="297"/>
      <c r="E119" s="297"/>
      <c r="F119" s="297"/>
      <c r="G119" s="297"/>
      <c r="H119" s="297"/>
      <c r="Y119" s="297"/>
      <c r="Z119" s="297"/>
      <c r="AA119" s="297"/>
      <c r="AB119" s="297"/>
      <c r="AC119" s="297"/>
      <c r="AD119" s="297"/>
    </row>
    <row r="120" spans="1:30" x14ac:dyDescent="0.3">
      <c r="A120" s="297"/>
      <c r="B120" s="297"/>
      <c r="C120" s="297"/>
      <c r="D120" s="297"/>
      <c r="E120" s="297"/>
      <c r="F120" s="297"/>
      <c r="G120" s="297"/>
      <c r="H120" s="297"/>
      <c r="Y120" s="297"/>
      <c r="Z120" s="297"/>
      <c r="AA120" s="297"/>
      <c r="AB120" s="297"/>
      <c r="AC120" s="297"/>
      <c r="AD120" s="297"/>
    </row>
    <row r="121" spans="1:30" x14ac:dyDescent="0.3">
      <c r="A121" s="297"/>
      <c r="B121" s="297"/>
      <c r="C121" s="297"/>
      <c r="D121" s="297"/>
      <c r="E121" s="297"/>
      <c r="F121" s="297"/>
      <c r="G121" s="297"/>
      <c r="H121" s="297"/>
      <c r="Y121" s="297"/>
      <c r="Z121" s="297"/>
      <c r="AA121" s="297"/>
      <c r="AB121" s="297"/>
      <c r="AC121" s="297"/>
      <c r="AD121" s="297"/>
    </row>
    <row r="122" spans="1:30" x14ac:dyDescent="0.3">
      <c r="A122" s="297"/>
      <c r="B122" s="297"/>
      <c r="C122" s="297"/>
      <c r="D122" s="297"/>
      <c r="E122" s="297"/>
      <c r="F122" s="297"/>
      <c r="G122" s="297"/>
      <c r="H122" s="297"/>
      <c r="Y122" s="297"/>
      <c r="Z122" s="297"/>
      <c r="AA122" s="297"/>
      <c r="AB122" s="297"/>
      <c r="AC122" s="297"/>
      <c r="AD122" s="297"/>
    </row>
    <row r="123" spans="1:30" x14ac:dyDescent="0.3">
      <c r="A123" s="297"/>
      <c r="B123" s="297"/>
      <c r="C123" s="297"/>
      <c r="D123" s="297"/>
      <c r="E123" s="297"/>
      <c r="F123" s="297"/>
      <c r="G123" s="297"/>
      <c r="H123" s="297"/>
      <c r="Y123" s="297"/>
      <c r="Z123" s="297"/>
      <c r="AA123" s="297"/>
      <c r="AB123" s="297"/>
      <c r="AC123" s="297"/>
      <c r="AD123" s="297"/>
    </row>
    <row r="124" spans="1:30" x14ac:dyDescent="0.3">
      <c r="A124" s="297"/>
      <c r="B124" s="297"/>
      <c r="C124" s="297"/>
      <c r="D124" s="297"/>
      <c r="E124" s="297"/>
      <c r="F124" s="297"/>
      <c r="G124" s="297"/>
      <c r="H124" s="297"/>
      <c r="Y124" s="297"/>
      <c r="Z124" s="297"/>
      <c r="AA124" s="297"/>
      <c r="AB124" s="297"/>
      <c r="AC124" s="297"/>
      <c r="AD124" s="297"/>
    </row>
    <row r="125" spans="1:30" x14ac:dyDescent="0.3">
      <c r="A125" s="297"/>
      <c r="B125" s="297"/>
      <c r="C125" s="297"/>
      <c r="D125" s="297"/>
      <c r="E125" s="297"/>
      <c r="F125" s="297"/>
      <c r="G125" s="297"/>
      <c r="H125" s="297"/>
      <c r="Y125" s="297"/>
      <c r="Z125" s="297"/>
      <c r="AA125" s="297"/>
      <c r="AB125" s="297"/>
      <c r="AC125" s="297"/>
      <c r="AD125" s="297"/>
    </row>
    <row r="126" spans="1:30" x14ac:dyDescent="0.3">
      <c r="A126" s="297"/>
      <c r="B126" s="297"/>
      <c r="C126" s="297"/>
      <c r="D126" s="297"/>
      <c r="E126" s="297"/>
      <c r="F126" s="297"/>
      <c r="G126" s="297"/>
      <c r="H126" s="297"/>
      <c r="Y126" s="297"/>
      <c r="Z126" s="297"/>
      <c r="AA126" s="297"/>
      <c r="AB126" s="297"/>
      <c r="AC126" s="297"/>
      <c r="AD126" s="297"/>
    </row>
    <row r="127" spans="1:30" x14ac:dyDescent="0.3">
      <c r="A127" s="297"/>
      <c r="B127" s="297"/>
      <c r="C127" s="297"/>
      <c r="D127" s="297"/>
      <c r="E127" s="297"/>
      <c r="F127" s="297"/>
      <c r="G127" s="297"/>
      <c r="H127" s="297"/>
      <c r="Y127" s="297"/>
      <c r="Z127" s="297"/>
      <c r="AA127" s="297"/>
      <c r="AB127" s="297"/>
      <c r="AC127" s="297"/>
      <c r="AD127" s="297"/>
    </row>
    <row r="128" spans="1:30" x14ac:dyDescent="0.3">
      <c r="A128" s="297"/>
      <c r="B128" s="297"/>
      <c r="C128" s="297"/>
      <c r="D128" s="297"/>
      <c r="E128" s="297"/>
      <c r="F128" s="297"/>
      <c r="G128" s="297"/>
      <c r="H128" s="297"/>
      <c r="Y128" s="297"/>
      <c r="Z128" s="297"/>
      <c r="AA128" s="297"/>
      <c r="AB128" s="297"/>
      <c r="AC128" s="297"/>
      <c r="AD128" s="297"/>
    </row>
    <row r="129" spans="1:30" x14ac:dyDescent="0.3">
      <c r="A129" s="297"/>
      <c r="B129" s="297"/>
      <c r="C129" s="297"/>
      <c r="D129" s="297"/>
      <c r="E129" s="297"/>
      <c r="F129" s="297"/>
      <c r="G129" s="297"/>
      <c r="H129" s="297"/>
      <c r="Y129" s="297"/>
      <c r="Z129" s="297"/>
      <c r="AA129" s="297"/>
      <c r="AB129" s="297"/>
      <c r="AC129" s="297"/>
      <c r="AD129" s="297"/>
    </row>
    <row r="130" spans="1:30" x14ac:dyDescent="0.3">
      <c r="A130" s="297"/>
      <c r="B130" s="297"/>
      <c r="C130" s="297"/>
      <c r="D130" s="297"/>
      <c r="E130" s="297"/>
      <c r="F130" s="297"/>
      <c r="G130" s="297"/>
      <c r="H130" s="297"/>
      <c r="Y130" s="297"/>
      <c r="Z130" s="297"/>
      <c r="AA130" s="297"/>
      <c r="AB130" s="297"/>
      <c r="AC130" s="297"/>
      <c r="AD130" s="297"/>
    </row>
    <row r="131" spans="1:30" x14ac:dyDescent="0.3">
      <c r="A131" s="297"/>
      <c r="B131" s="297"/>
      <c r="C131" s="297"/>
      <c r="D131" s="297"/>
      <c r="E131" s="297"/>
      <c r="F131" s="297"/>
      <c r="G131" s="297"/>
      <c r="H131" s="297"/>
      <c r="Y131" s="297"/>
      <c r="Z131" s="297"/>
      <c r="AA131" s="297"/>
      <c r="AB131" s="297"/>
      <c r="AC131" s="297"/>
      <c r="AD131" s="297"/>
    </row>
    <row r="132" spans="1:30" x14ac:dyDescent="0.3">
      <c r="A132" s="297"/>
      <c r="B132" s="297"/>
      <c r="C132" s="297"/>
      <c r="D132" s="297"/>
      <c r="E132" s="297"/>
      <c r="F132" s="297"/>
      <c r="G132" s="297"/>
      <c r="H132" s="297"/>
      <c r="Y132" s="297"/>
      <c r="Z132" s="297"/>
      <c r="AA132" s="297"/>
      <c r="AB132" s="297"/>
      <c r="AC132" s="297"/>
      <c r="AD132" s="297"/>
    </row>
    <row r="133" spans="1:30" x14ac:dyDescent="0.3">
      <c r="A133" s="297"/>
      <c r="B133" s="297"/>
      <c r="C133" s="297"/>
      <c r="D133" s="297"/>
      <c r="E133" s="297"/>
      <c r="F133" s="297"/>
      <c r="G133" s="297"/>
      <c r="H133" s="297"/>
      <c r="Y133" s="297"/>
      <c r="Z133" s="297"/>
      <c r="AA133" s="297"/>
      <c r="AB133" s="297"/>
      <c r="AC133" s="297"/>
      <c r="AD133" s="297"/>
    </row>
    <row r="134" spans="1:30" x14ac:dyDescent="0.3">
      <c r="A134" s="297"/>
      <c r="B134" s="297"/>
      <c r="C134" s="297"/>
      <c r="D134" s="297"/>
      <c r="E134" s="297"/>
      <c r="F134" s="297"/>
      <c r="G134" s="297"/>
      <c r="H134" s="297"/>
      <c r="Y134" s="297"/>
      <c r="Z134" s="297"/>
      <c r="AA134" s="297"/>
      <c r="AB134" s="297"/>
      <c r="AC134" s="297"/>
      <c r="AD134" s="297"/>
    </row>
    <row r="135" spans="1:30" x14ac:dyDescent="0.3">
      <c r="A135" s="297"/>
      <c r="B135" s="297"/>
      <c r="C135" s="297"/>
      <c r="D135" s="297"/>
      <c r="E135" s="297"/>
      <c r="F135" s="297"/>
      <c r="G135" s="297"/>
      <c r="H135" s="297"/>
      <c r="Y135" s="297"/>
      <c r="Z135" s="297"/>
      <c r="AA135" s="297"/>
      <c r="AB135" s="297"/>
      <c r="AC135" s="297"/>
      <c r="AD135" s="297"/>
    </row>
    <row r="136" spans="1:30" x14ac:dyDescent="0.3">
      <c r="A136" s="297"/>
      <c r="B136" s="297"/>
      <c r="C136" s="297"/>
      <c r="D136" s="297"/>
      <c r="E136" s="297"/>
      <c r="F136" s="297"/>
      <c r="G136" s="297"/>
      <c r="H136" s="297"/>
      <c r="Y136" s="297"/>
      <c r="Z136" s="297"/>
      <c r="AA136" s="297"/>
      <c r="AB136" s="297"/>
      <c r="AC136" s="297"/>
      <c r="AD136" s="297"/>
    </row>
    <row r="137" spans="1:30" x14ac:dyDescent="0.3">
      <c r="A137" s="297"/>
      <c r="B137" s="297"/>
      <c r="C137" s="297"/>
      <c r="D137" s="297"/>
      <c r="E137" s="297"/>
      <c r="F137" s="297"/>
      <c r="G137" s="297"/>
      <c r="H137" s="297"/>
      <c r="Y137" s="297"/>
      <c r="Z137" s="297"/>
      <c r="AA137" s="297"/>
      <c r="AB137" s="297"/>
      <c r="AC137" s="297"/>
      <c r="AD137" s="297"/>
    </row>
    <row r="138" spans="1:30" x14ac:dyDescent="0.3">
      <c r="A138" s="297"/>
      <c r="B138" s="297"/>
      <c r="C138" s="297"/>
      <c r="D138" s="297"/>
      <c r="E138" s="297"/>
      <c r="F138" s="297"/>
      <c r="G138" s="297"/>
      <c r="H138" s="297"/>
      <c r="Y138" s="297"/>
      <c r="Z138" s="297"/>
      <c r="AA138" s="297"/>
      <c r="AB138" s="297"/>
      <c r="AC138" s="297"/>
      <c r="AD138" s="297"/>
    </row>
    <row r="139" spans="1:30" x14ac:dyDescent="0.3">
      <c r="A139" s="297"/>
      <c r="B139" s="297"/>
      <c r="C139" s="297"/>
      <c r="D139" s="297"/>
      <c r="E139" s="297"/>
      <c r="F139" s="297"/>
      <c r="G139" s="297"/>
      <c r="H139" s="297"/>
      <c r="Y139" s="297"/>
      <c r="Z139" s="297"/>
      <c r="AA139" s="297"/>
      <c r="AB139" s="297"/>
      <c r="AC139" s="297"/>
      <c r="AD139" s="297"/>
    </row>
    <row r="140" spans="1:30" x14ac:dyDescent="0.3">
      <c r="A140" s="297"/>
      <c r="B140" s="297"/>
      <c r="C140" s="297"/>
      <c r="D140" s="297"/>
      <c r="E140" s="297"/>
      <c r="F140" s="297"/>
      <c r="G140" s="297"/>
      <c r="H140" s="297"/>
      <c r="Y140" s="297"/>
      <c r="Z140" s="297"/>
      <c r="AA140" s="297"/>
      <c r="AB140" s="297"/>
      <c r="AC140" s="297"/>
      <c r="AD140" s="297"/>
    </row>
    <row r="141" spans="1:30" x14ac:dyDescent="0.3">
      <c r="A141" s="297"/>
      <c r="B141" s="297"/>
      <c r="C141" s="297"/>
      <c r="D141" s="297"/>
      <c r="E141" s="297"/>
      <c r="F141" s="297"/>
      <c r="G141" s="297"/>
      <c r="H141" s="297"/>
      <c r="Y141" s="297"/>
      <c r="Z141" s="297"/>
      <c r="AA141" s="297"/>
      <c r="AB141" s="297"/>
      <c r="AC141" s="297"/>
      <c r="AD141" s="297"/>
    </row>
    <row r="142" spans="1:30" x14ac:dyDescent="0.3">
      <c r="A142" s="297"/>
      <c r="B142" s="297"/>
      <c r="C142" s="297"/>
      <c r="D142" s="297"/>
      <c r="E142" s="297"/>
      <c r="F142" s="297"/>
      <c r="G142" s="297"/>
      <c r="H142" s="297"/>
      <c r="Y142" s="297"/>
      <c r="Z142" s="297"/>
      <c r="AA142" s="297"/>
      <c r="AB142" s="297"/>
      <c r="AC142" s="297"/>
      <c r="AD142" s="297"/>
    </row>
    <row r="143" spans="1:30" x14ac:dyDescent="0.3">
      <c r="A143" s="297"/>
      <c r="B143" s="297"/>
      <c r="C143" s="297"/>
      <c r="D143" s="297"/>
      <c r="E143" s="297"/>
      <c r="F143" s="297"/>
      <c r="G143" s="297"/>
      <c r="H143" s="297"/>
      <c r="Y143" s="297"/>
      <c r="Z143" s="297"/>
      <c r="AA143" s="297"/>
      <c r="AB143" s="297"/>
      <c r="AC143" s="297"/>
      <c r="AD143" s="297"/>
    </row>
    <row r="144" spans="1:30" x14ac:dyDescent="0.3">
      <c r="A144" s="297"/>
      <c r="B144" s="297"/>
      <c r="C144" s="297"/>
      <c r="D144" s="297"/>
      <c r="E144" s="297"/>
      <c r="F144" s="297"/>
      <c r="G144" s="297"/>
      <c r="H144" s="297"/>
      <c r="Y144" s="297"/>
      <c r="Z144" s="297"/>
      <c r="AA144" s="297"/>
      <c r="AB144" s="297"/>
      <c r="AC144" s="297"/>
      <c r="AD144" s="297"/>
    </row>
    <row r="145" spans="1:30" x14ac:dyDescent="0.3">
      <c r="A145" s="297"/>
      <c r="B145" s="297"/>
      <c r="C145" s="297"/>
      <c r="D145" s="297"/>
      <c r="E145" s="297"/>
      <c r="F145" s="297"/>
      <c r="G145" s="297"/>
      <c r="H145" s="297"/>
      <c r="Y145" s="297"/>
      <c r="Z145" s="297"/>
      <c r="AA145" s="297"/>
      <c r="AB145" s="297"/>
      <c r="AC145" s="297"/>
      <c r="AD145" s="297"/>
    </row>
    <row r="146" spans="1:30" x14ac:dyDescent="0.3">
      <c r="A146" s="297"/>
      <c r="B146" s="297"/>
      <c r="C146" s="297"/>
      <c r="D146" s="297"/>
      <c r="E146" s="297"/>
      <c r="F146" s="297"/>
      <c r="G146" s="297"/>
      <c r="H146" s="297"/>
      <c r="Y146" s="297"/>
      <c r="Z146" s="297"/>
      <c r="AA146" s="297"/>
      <c r="AB146" s="297"/>
      <c r="AC146" s="297"/>
      <c r="AD146" s="297"/>
    </row>
    <row r="147" spans="1:30" x14ac:dyDescent="0.3">
      <c r="A147" s="297"/>
      <c r="B147" s="297"/>
      <c r="C147" s="297"/>
      <c r="D147" s="297"/>
      <c r="E147" s="297"/>
      <c r="F147" s="297"/>
      <c r="G147" s="297"/>
      <c r="H147" s="297"/>
      <c r="Y147" s="297"/>
      <c r="Z147" s="297"/>
      <c r="AA147" s="297"/>
      <c r="AB147" s="297"/>
      <c r="AC147" s="297"/>
      <c r="AD147" s="297"/>
    </row>
    <row r="148" spans="1:30" x14ac:dyDescent="0.3">
      <c r="A148" s="297"/>
      <c r="B148" s="297"/>
      <c r="C148" s="297"/>
      <c r="D148" s="297"/>
      <c r="E148" s="297"/>
      <c r="F148" s="297"/>
      <c r="G148" s="297"/>
      <c r="H148" s="297"/>
      <c r="Y148" s="297"/>
      <c r="Z148" s="297"/>
      <c r="AA148" s="297"/>
      <c r="AB148" s="297"/>
      <c r="AC148" s="297"/>
      <c r="AD148" s="297"/>
    </row>
    <row r="149" spans="1:30" x14ac:dyDescent="0.3">
      <c r="A149" s="297"/>
      <c r="B149" s="297"/>
      <c r="C149" s="297"/>
      <c r="D149" s="297"/>
      <c r="E149" s="297"/>
      <c r="F149" s="297"/>
      <c r="G149" s="297"/>
      <c r="H149" s="297"/>
      <c r="Y149" s="297"/>
      <c r="Z149" s="297"/>
      <c r="AA149" s="297"/>
      <c r="AB149" s="297"/>
      <c r="AC149" s="297"/>
      <c r="AD149" s="297"/>
    </row>
    <row r="150" spans="1:30" x14ac:dyDescent="0.3">
      <c r="A150" s="297"/>
      <c r="B150" s="297"/>
      <c r="C150" s="297"/>
      <c r="D150" s="297"/>
      <c r="E150" s="297"/>
      <c r="F150" s="297"/>
      <c r="G150" s="297"/>
      <c r="H150" s="297"/>
      <c r="Y150" s="297"/>
      <c r="Z150" s="297"/>
      <c r="AA150" s="297"/>
      <c r="AB150" s="297"/>
      <c r="AC150" s="297"/>
      <c r="AD150" s="297"/>
    </row>
    <row r="151" spans="1:30" x14ac:dyDescent="0.3">
      <c r="A151" s="297"/>
      <c r="B151" s="297"/>
      <c r="C151" s="297"/>
      <c r="D151" s="297"/>
      <c r="E151" s="297"/>
      <c r="F151" s="297"/>
      <c r="G151" s="297"/>
      <c r="H151" s="297"/>
      <c r="Y151" s="297"/>
      <c r="Z151" s="297"/>
      <c r="AA151" s="297"/>
      <c r="AB151" s="297"/>
      <c r="AC151" s="297"/>
      <c r="AD151" s="297"/>
    </row>
    <row r="152" spans="1:30" x14ac:dyDescent="0.3">
      <c r="A152" s="297"/>
      <c r="B152" s="297"/>
      <c r="C152" s="297"/>
      <c r="D152" s="297"/>
      <c r="E152" s="297"/>
      <c r="F152" s="297"/>
      <c r="G152" s="297"/>
      <c r="H152" s="297"/>
      <c r="Y152" s="297"/>
      <c r="Z152" s="297"/>
      <c r="AA152" s="297"/>
      <c r="AB152" s="297"/>
      <c r="AC152" s="297"/>
      <c r="AD152" s="297"/>
    </row>
    <row r="153" spans="1:30" x14ac:dyDescent="0.3">
      <c r="A153" s="297"/>
      <c r="B153" s="297"/>
      <c r="C153" s="297"/>
      <c r="D153" s="297"/>
      <c r="E153" s="297"/>
      <c r="F153" s="297"/>
      <c r="G153" s="297"/>
      <c r="H153" s="297"/>
      <c r="Y153" s="297"/>
      <c r="Z153" s="297"/>
      <c r="AA153" s="297"/>
      <c r="AB153" s="297"/>
      <c r="AC153" s="297"/>
      <c r="AD153" s="297"/>
    </row>
    <row r="154" spans="1:30" x14ac:dyDescent="0.3">
      <c r="A154" s="297"/>
      <c r="B154" s="297"/>
      <c r="C154" s="297"/>
      <c r="D154" s="297"/>
      <c r="E154" s="297"/>
      <c r="F154" s="297"/>
      <c r="G154" s="297"/>
      <c r="H154" s="297"/>
      <c r="Y154" s="297"/>
      <c r="Z154" s="297"/>
      <c r="AA154" s="297"/>
      <c r="AB154" s="297"/>
      <c r="AC154" s="297"/>
      <c r="AD154" s="297"/>
    </row>
    <row r="155" spans="1:30" x14ac:dyDescent="0.3">
      <c r="A155" s="297"/>
      <c r="B155" s="297"/>
      <c r="C155" s="297"/>
      <c r="D155" s="297"/>
      <c r="E155" s="297"/>
      <c r="F155" s="297"/>
      <c r="G155" s="297"/>
      <c r="H155" s="297"/>
      <c r="Y155" s="297"/>
      <c r="Z155" s="297"/>
      <c r="AA155" s="297"/>
      <c r="AB155" s="297"/>
      <c r="AC155" s="297"/>
      <c r="AD155" s="297"/>
    </row>
    <row r="156" spans="1:30" x14ac:dyDescent="0.3">
      <c r="A156" s="297"/>
      <c r="B156" s="297"/>
      <c r="C156" s="297"/>
      <c r="D156" s="297"/>
      <c r="E156" s="297"/>
      <c r="F156" s="297"/>
      <c r="G156" s="297"/>
      <c r="H156" s="297"/>
      <c r="Y156" s="297"/>
      <c r="Z156" s="297"/>
      <c r="AA156" s="297"/>
      <c r="AB156" s="297"/>
      <c r="AC156" s="297"/>
      <c r="AD156" s="297"/>
    </row>
    <row r="157" spans="1:30" x14ac:dyDescent="0.3">
      <c r="A157" s="297"/>
      <c r="B157" s="297"/>
      <c r="C157" s="297"/>
      <c r="D157" s="297"/>
      <c r="E157" s="297"/>
      <c r="F157" s="297"/>
      <c r="G157" s="297"/>
      <c r="H157" s="297"/>
      <c r="Y157" s="297"/>
      <c r="Z157" s="297"/>
      <c r="AA157" s="297"/>
      <c r="AB157" s="297"/>
      <c r="AC157" s="297"/>
      <c r="AD157" s="297"/>
    </row>
    <row r="158" spans="1:30" x14ac:dyDescent="0.3">
      <c r="A158" s="297"/>
      <c r="B158" s="297"/>
      <c r="C158" s="297"/>
      <c r="D158" s="297"/>
      <c r="E158" s="297"/>
      <c r="F158" s="297"/>
      <c r="G158" s="297"/>
      <c r="H158" s="297"/>
      <c r="Y158" s="297"/>
      <c r="Z158" s="297"/>
      <c r="AA158" s="297"/>
      <c r="AB158" s="297"/>
      <c r="AC158" s="297"/>
      <c r="AD158" s="297"/>
    </row>
    <row r="159" spans="1:30" x14ac:dyDescent="0.3">
      <c r="A159" s="297"/>
      <c r="B159" s="297"/>
      <c r="C159" s="297"/>
      <c r="D159" s="297"/>
      <c r="E159" s="297"/>
      <c r="F159" s="297"/>
      <c r="G159" s="297"/>
      <c r="H159" s="297"/>
      <c r="Y159" s="297"/>
      <c r="Z159" s="297"/>
      <c r="AA159" s="297"/>
      <c r="AB159" s="297"/>
      <c r="AC159" s="297"/>
      <c r="AD159" s="297"/>
    </row>
    <row r="160" spans="1:30" x14ac:dyDescent="0.3">
      <c r="A160" s="297"/>
      <c r="B160" s="297"/>
      <c r="C160" s="297"/>
      <c r="D160" s="297"/>
      <c r="E160" s="297"/>
      <c r="F160" s="297"/>
      <c r="G160" s="297"/>
      <c r="H160" s="297"/>
      <c r="Y160" s="297"/>
      <c r="Z160" s="297"/>
      <c r="AA160" s="297"/>
      <c r="AB160" s="297"/>
      <c r="AC160" s="297"/>
      <c r="AD160" s="297"/>
    </row>
    <row r="161" spans="1:30" x14ac:dyDescent="0.3">
      <c r="A161" s="297"/>
      <c r="B161" s="297"/>
      <c r="C161" s="297"/>
      <c r="D161" s="297"/>
      <c r="E161" s="297"/>
      <c r="F161" s="297"/>
      <c r="G161" s="297"/>
      <c r="H161" s="297"/>
      <c r="Y161" s="297"/>
      <c r="Z161" s="297"/>
      <c r="AA161" s="297"/>
      <c r="AB161" s="297"/>
      <c r="AC161" s="297"/>
      <c r="AD161" s="297"/>
    </row>
    <row r="162" spans="1:30" x14ac:dyDescent="0.3">
      <c r="A162" s="297"/>
      <c r="B162" s="297"/>
      <c r="C162" s="297"/>
      <c r="D162" s="297"/>
      <c r="E162" s="297"/>
      <c r="F162" s="297"/>
      <c r="G162" s="297"/>
      <c r="H162" s="297"/>
      <c r="Y162" s="297"/>
      <c r="Z162" s="297"/>
      <c r="AA162" s="297"/>
      <c r="AB162" s="297"/>
      <c r="AC162" s="297"/>
      <c r="AD162" s="297"/>
    </row>
    <row r="163" spans="1:30" x14ac:dyDescent="0.3">
      <c r="A163" s="297"/>
      <c r="B163" s="297"/>
      <c r="C163" s="297"/>
      <c r="D163" s="297"/>
      <c r="E163" s="297"/>
      <c r="F163" s="297"/>
      <c r="G163" s="297"/>
      <c r="H163" s="297"/>
      <c r="Y163" s="297"/>
      <c r="Z163" s="297"/>
      <c r="AA163" s="297"/>
      <c r="AB163" s="297"/>
      <c r="AC163" s="297"/>
      <c r="AD163" s="297"/>
    </row>
    <row r="164" spans="1:30" x14ac:dyDescent="0.3">
      <c r="A164" s="297"/>
      <c r="B164" s="297"/>
      <c r="C164" s="297"/>
      <c r="D164" s="297"/>
      <c r="E164" s="297"/>
      <c r="F164" s="297"/>
      <c r="G164" s="297"/>
      <c r="H164" s="297"/>
      <c r="Y164" s="297"/>
      <c r="Z164" s="297"/>
      <c r="AA164" s="297"/>
      <c r="AB164" s="297"/>
      <c r="AC164" s="297"/>
      <c r="AD164" s="297"/>
    </row>
    <row r="165" spans="1:30" x14ac:dyDescent="0.3">
      <c r="A165" s="297"/>
      <c r="B165" s="297"/>
      <c r="C165" s="297"/>
      <c r="D165" s="297"/>
      <c r="E165" s="297"/>
      <c r="F165" s="297"/>
      <c r="G165" s="297"/>
      <c r="H165" s="297"/>
      <c r="Y165" s="297"/>
      <c r="Z165" s="297"/>
      <c r="AA165" s="297"/>
      <c r="AB165" s="297"/>
      <c r="AC165" s="297"/>
      <c r="AD165" s="297"/>
    </row>
    <row r="166" spans="1:30" x14ac:dyDescent="0.3">
      <c r="A166" s="297"/>
      <c r="B166" s="297"/>
      <c r="C166" s="297"/>
      <c r="D166" s="297"/>
      <c r="E166" s="297"/>
      <c r="F166" s="297"/>
      <c r="G166" s="297"/>
      <c r="H166" s="297"/>
      <c r="Y166" s="297"/>
      <c r="Z166" s="297"/>
      <c r="AA166" s="297"/>
      <c r="AB166" s="297"/>
      <c r="AC166" s="297"/>
      <c r="AD166" s="297"/>
    </row>
    <row r="167" spans="1:30" x14ac:dyDescent="0.3">
      <c r="A167" s="297"/>
      <c r="B167" s="297"/>
      <c r="C167" s="297"/>
      <c r="D167" s="297"/>
      <c r="E167" s="297"/>
      <c r="F167" s="297"/>
      <c r="G167" s="297"/>
      <c r="H167" s="297"/>
      <c r="Y167" s="297"/>
      <c r="Z167" s="297"/>
      <c r="AA167" s="297"/>
      <c r="AB167" s="297"/>
      <c r="AC167" s="297"/>
      <c r="AD167" s="297"/>
    </row>
    <row r="168" spans="1:30" x14ac:dyDescent="0.3">
      <c r="A168" s="297"/>
      <c r="B168" s="297"/>
      <c r="C168" s="297"/>
      <c r="D168" s="297"/>
      <c r="E168" s="297"/>
      <c r="F168" s="297"/>
      <c r="G168" s="297"/>
      <c r="H168" s="297"/>
      <c r="Y168" s="297"/>
      <c r="Z168" s="297"/>
      <c r="AA168" s="297"/>
      <c r="AB168" s="297"/>
      <c r="AC168" s="297"/>
      <c r="AD168" s="297"/>
    </row>
    <row r="169" spans="1:30" x14ac:dyDescent="0.3">
      <c r="A169" s="297"/>
      <c r="B169" s="297"/>
      <c r="C169" s="297"/>
      <c r="D169" s="297"/>
      <c r="E169" s="297"/>
      <c r="F169" s="297"/>
      <c r="G169" s="297"/>
      <c r="H169" s="297"/>
      <c r="Y169" s="297"/>
      <c r="Z169" s="297"/>
      <c r="AA169" s="297"/>
      <c r="AB169" s="297"/>
      <c r="AC169" s="297"/>
      <c r="AD169" s="297"/>
    </row>
    <row r="170" spans="1:30" x14ac:dyDescent="0.3">
      <c r="A170" s="297"/>
      <c r="B170" s="297"/>
      <c r="C170" s="297"/>
      <c r="D170" s="297"/>
      <c r="E170" s="297"/>
      <c r="F170" s="297"/>
      <c r="G170" s="297"/>
      <c r="H170" s="297"/>
      <c r="Y170" s="297"/>
      <c r="Z170" s="297"/>
      <c r="AA170" s="297"/>
      <c r="AB170" s="297"/>
      <c r="AC170" s="297"/>
      <c r="AD170" s="297"/>
    </row>
    <row r="171" spans="1:30" x14ac:dyDescent="0.3">
      <c r="A171" s="297"/>
      <c r="B171" s="297"/>
      <c r="C171" s="297"/>
      <c r="D171" s="297"/>
      <c r="E171" s="297"/>
      <c r="F171" s="297"/>
      <c r="G171" s="297"/>
      <c r="H171" s="297"/>
      <c r="Y171" s="297"/>
      <c r="Z171" s="297"/>
      <c r="AA171" s="297"/>
      <c r="AB171" s="297"/>
      <c r="AC171" s="297"/>
      <c r="AD171" s="297"/>
    </row>
    <row r="172" spans="1:30" x14ac:dyDescent="0.3">
      <c r="A172" s="297"/>
      <c r="B172" s="297"/>
      <c r="C172" s="297"/>
      <c r="D172" s="297"/>
      <c r="E172" s="297"/>
      <c r="F172" s="297"/>
      <c r="G172" s="297"/>
      <c r="H172" s="297"/>
      <c r="Y172" s="297"/>
      <c r="Z172" s="297"/>
      <c r="AA172" s="297"/>
      <c r="AB172" s="297"/>
      <c r="AC172" s="297"/>
      <c r="AD172" s="297"/>
    </row>
    <row r="173" spans="1:30" x14ac:dyDescent="0.3">
      <c r="A173" s="297"/>
      <c r="B173" s="297"/>
      <c r="C173" s="297"/>
      <c r="D173" s="297"/>
      <c r="E173" s="297"/>
      <c r="F173" s="297"/>
      <c r="G173" s="297"/>
      <c r="H173" s="297"/>
      <c r="Y173" s="297"/>
      <c r="Z173" s="297"/>
      <c r="AA173" s="297"/>
      <c r="AB173" s="297"/>
      <c r="AC173" s="297"/>
      <c r="AD173" s="297"/>
    </row>
    <row r="174" spans="1:30" x14ac:dyDescent="0.3">
      <c r="A174" s="297"/>
      <c r="B174" s="297"/>
      <c r="C174" s="297"/>
      <c r="D174" s="297"/>
      <c r="E174" s="297"/>
      <c r="F174" s="297"/>
      <c r="G174" s="297"/>
      <c r="H174" s="297"/>
      <c r="Y174" s="297"/>
      <c r="Z174" s="297"/>
      <c r="AA174" s="297"/>
      <c r="AB174" s="297"/>
      <c r="AC174" s="297"/>
      <c r="AD174" s="297"/>
    </row>
    <row r="175" spans="1:30" x14ac:dyDescent="0.3">
      <c r="A175" s="297"/>
      <c r="B175" s="297"/>
      <c r="C175" s="297"/>
      <c r="D175" s="297"/>
      <c r="E175" s="297"/>
      <c r="F175" s="297"/>
      <c r="G175" s="297"/>
      <c r="H175" s="297"/>
      <c r="Y175" s="297"/>
      <c r="Z175" s="297"/>
      <c r="AA175" s="297"/>
      <c r="AB175" s="297"/>
      <c r="AC175" s="297"/>
      <c r="AD175" s="297"/>
    </row>
    <row r="176" spans="1:30" x14ac:dyDescent="0.3">
      <c r="A176" s="297"/>
      <c r="B176" s="297"/>
      <c r="C176" s="297"/>
      <c r="D176" s="297"/>
      <c r="E176" s="297"/>
      <c r="F176" s="297"/>
      <c r="G176" s="297"/>
      <c r="H176" s="297"/>
      <c r="Y176" s="297"/>
      <c r="Z176" s="297"/>
      <c r="AA176" s="297"/>
      <c r="AB176" s="297"/>
      <c r="AC176" s="297"/>
      <c r="AD176" s="297"/>
    </row>
    <row r="177" spans="1:30" x14ac:dyDescent="0.3">
      <c r="A177" s="297"/>
      <c r="B177" s="297"/>
      <c r="C177" s="297"/>
      <c r="D177" s="297"/>
      <c r="E177" s="297"/>
      <c r="F177" s="297"/>
      <c r="G177" s="297"/>
      <c r="H177" s="297"/>
      <c r="Y177" s="297"/>
      <c r="Z177" s="297"/>
      <c r="AA177" s="297"/>
      <c r="AB177" s="297"/>
      <c r="AC177" s="297"/>
      <c r="AD177" s="297"/>
    </row>
    <row r="178" spans="1:30" x14ac:dyDescent="0.3">
      <c r="A178" s="297"/>
      <c r="B178" s="297"/>
      <c r="C178" s="297"/>
      <c r="D178" s="297"/>
      <c r="E178" s="297"/>
      <c r="F178" s="297"/>
      <c r="G178" s="297"/>
      <c r="H178" s="297"/>
      <c r="Y178" s="297"/>
      <c r="Z178" s="297"/>
      <c r="AA178" s="297"/>
      <c r="AB178" s="297"/>
      <c r="AC178" s="297"/>
      <c r="AD178" s="297"/>
    </row>
    <row r="179" spans="1:30" x14ac:dyDescent="0.3">
      <c r="A179" s="297"/>
      <c r="B179" s="297"/>
      <c r="C179" s="297"/>
      <c r="D179" s="297"/>
      <c r="E179" s="297"/>
      <c r="F179" s="297"/>
      <c r="G179" s="297"/>
      <c r="H179" s="297"/>
      <c r="Y179" s="297"/>
      <c r="Z179" s="297"/>
      <c r="AA179" s="297"/>
      <c r="AB179" s="297"/>
      <c r="AC179" s="297"/>
      <c r="AD179" s="297"/>
    </row>
    <row r="180" spans="1:30" x14ac:dyDescent="0.3">
      <c r="A180" s="297"/>
      <c r="B180" s="297"/>
      <c r="C180" s="297"/>
      <c r="D180" s="297"/>
      <c r="E180" s="297"/>
      <c r="F180" s="297"/>
      <c r="G180" s="297"/>
      <c r="H180" s="297"/>
      <c r="Y180" s="297"/>
      <c r="Z180" s="297"/>
      <c r="AA180" s="297"/>
      <c r="AB180" s="297"/>
      <c r="AC180" s="297"/>
      <c r="AD180" s="297"/>
    </row>
    <row r="181" spans="1:30" x14ac:dyDescent="0.3">
      <c r="A181" s="297"/>
      <c r="B181" s="297"/>
      <c r="C181" s="297"/>
      <c r="D181" s="297"/>
      <c r="E181" s="297"/>
      <c r="F181" s="297"/>
      <c r="G181" s="297"/>
      <c r="H181" s="297"/>
      <c r="Y181" s="297"/>
      <c r="Z181" s="297"/>
      <c r="AA181" s="297"/>
      <c r="AB181" s="297"/>
      <c r="AC181" s="297"/>
      <c r="AD181" s="297"/>
    </row>
    <row r="182" spans="1:30" x14ac:dyDescent="0.3">
      <c r="A182" s="297"/>
      <c r="B182" s="297"/>
      <c r="C182" s="297"/>
      <c r="D182" s="297"/>
      <c r="E182" s="297"/>
      <c r="F182" s="297"/>
      <c r="G182" s="297"/>
      <c r="H182" s="297"/>
      <c r="Y182" s="297"/>
      <c r="Z182" s="297"/>
      <c r="AA182" s="297"/>
      <c r="AB182" s="297"/>
      <c r="AC182" s="297"/>
      <c r="AD182" s="297"/>
    </row>
    <row r="183" spans="1:30" x14ac:dyDescent="0.3">
      <c r="A183" s="297"/>
      <c r="B183" s="297"/>
      <c r="C183" s="297"/>
      <c r="D183" s="297"/>
      <c r="E183" s="297"/>
      <c r="F183" s="297"/>
      <c r="G183" s="297"/>
      <c r="H183" s="297"/>
      <c r="Y183" s="297"/>
      <c r="Z183" s="297"/>
      <c r="AA183" s="297"/>
      <c r="AB183" s="297"/>
      <c r="AC183" s="297"/>
      <c r="AD183" s="297"/>
    </row>
    <row r="184" spans="1:30" x14ac:dyDescent="0.3">
      <c r="A184" s="297"/>
      <c r="B184" s="297"/>
      <c r="C184" s="297"/>
      <c r="D184" s="297"/>
      <c r="E184" s="297"/>
      <c r="F184" s="297"/>
      <c r="G184" s="297"/>
      <c r="H184" s="297"/>
      <c r="Y184" s="297"/>
      <c r="Z184" s="297"/>
      <c r="AA184" s="297"/>
      <c r="AB184" s="297"/>
      <c r="AC184" s="297"/>
      <c r="AD184" s="297"/>
    </row>
    <row r="185" spans="1:30" x14ac:dyDescent="0.3">
      <c r="A185" s="297"/>
      <c r="B185" s="297"/>
      <c r="C185" s="297"/>
      <c r="D185" s="297"/>
      <c r="E185" s="297"/>
      <c r="F185" s="297"/>
      <c r="G185" s="297"/>
      <c r="H185" s="297"/>
      <c r="Y185" s="297"/>
      <c r="Z185" s="297"/>
      <c r="AA185" s="297"/>
      <c r="AB185" s="297"/>
      <c r="AC185" s="297"/>
      <c r="AD185" s="297"/>
    </row>
    <row r="186" spans="1:30" x14ac:dyDescent="0.3">
      <c r="A186" s="297"/>
      <c r="B186" s="297"/>
      <c r="C186" s="297"/>
      <c r="D186" s="297"/>
      <c r="E186" s="297"/>
      <c r="F186" s="297"/>
      <c r="G186" s="297"/>
      <c r="H186" s="297"/>
      <c r="Y186" s="297"/>
      <c r="Z186" s="297"/>
      <c r="AA186" s="297"/>
      <c r="AB186" s="297"/>
      <c r="AC186" s="297"/>
      <c r="AD186" s="297"/>
    </row>
    <row r="187" spans="1:30" x14ac:dyDescent="0.3">
      <c r="A187" s="297"/>
      <c r="B187" s="297"/>
      <c r="C187" s="297"/>
      <c r="D187" s="297"/>
      <c r="E187" s="297"/>
      <c r="F187" s="297"/>
      <c r="G187" s="297"/>
      <c r="H187" s="297"/>
      <c r="Y187" s="297"/>
      <c r="Z187" s="297"/>
      <c r="AA187" s="297"/>
      <c r="AB187" s="297"/>
      <c r="AC187" s="297"/>
      <c r="AD187" s="297"/>
    </row>
    <row r="188" spans="1:30" x14ac:dyDescent="0.3">
      <c r="A188" s="297"/>
      <c r="B188" s="297"/>
      <c r="C188" s="297"/>
      <c r="D188" s="297"/>
      <c r="E188" s="297"/>
      <c r="F188" s="297"/>
      <c r="G188" s="297"/>
      <c r="H188" s="297"/>
      <c r="Y188" s="297"/>
      <c r="Z188" s="297"/>
      <c r="AA188" s="297"/>
      <c r="AB188" s="297"/>
      <c r="AC188" s="297"/>
      <c r="AD188" s="297"/>
    </row>
    <row r="189" spans="1:30" x14ac:dyDescent="0.3">
      <c r="A189" s="297"/>
      <c r="B189" s="297"/>
      <c r="C189" s="297"/>
      <c r="D189" s="297"/>
      <c r="E189" s="297"/>
      <c r="F189" s="297"/>
      <c r="G189" s="297"/>
      <c r="H189" s="297"/>
      <c r="Y189" s="297"/>
      <c r="Z189" s="297"/>
      <c r="AA189" s="297"/>
      <c r="AB189" s="297"/>
      <c r="AC189" s="297"/>
      <c r="AD189" s="297"/>
    </row>
    <row r="190" spans="1:30" x14ac:dyDescent="0.3">
      <c r="A190" s="297"/>
      <c r="B190" s="297"/>
      <c r="C190" s="297"/>
      <c r="D190" s="297"/>
      <c r="E190" s="297"/>
      <c r="F190" s="297"/>
      <c r="G190" s="297"/>
      <c r="H190" s="297"/>
      <c r="Y190" s="297"/>
      <c r="Z190" s="297"/>
      <c r="AA190" s="297"/>
      <c r="AB190" s="297"/>
      <c r="AC190" s="297"/>
      <c r="AD190" s="297"/>
    </row>
    <row r="191" spans="1:30" x14ac:dyDescent="0.3">
      <c r="A191" s="297"/>
      <c r="B191" s="297"/>
      <c r="C191" s="297"/>
      <c r="D191" s="297"/>
      <c r="E191" s="297"/>
      <c r="F191" s="297"/>
      <c r="G191" s="297"/>
      <c r="H191" s="297"/>
      <c r="Y191" s="297"/>
      <c r="Z191" s="297"/>
      <c r="AA191" s="297"/>
      <c r="AB191" s="297"/>
      <c r="AC191" s="297"/>
      <c r="AD191" s="297"/>
    </row>
    <row r="192" spans="1:30" x14ac:dyDescent="0.3">
      <c r="A192" s="297"/>
      <c r="B192" s="297"/>
      <c r="C192" s="297"/>
      <c r="D192" s="297"/>
      <c r="E192" s="297"/>
      <c r="F192" s="297"/>
      <c r="G192" s="297"/>
      <c r="H192" s="297"/>
      <c r="Y192" s="297"/>
      <c r="Z192" s="297"/>
      <c r="AA192" s="297"/>
      <c r="AB192" s="297"/>
      <c r="AC192" s="297"/>
      <c r="AD192" s="297"/>
    </row>
    <row r="193" spans="1:30" x14ac:dyDescent="0.3">
      <c r="A193" s="297"/>
      <c r="B193" s="297"/>
      <c r="C193" s="297"/>
      <c r="D193" s="297"/>
      <c r="E193" s="297"/>
      <c r="F193" s="297"/>
      <c r="G193" s="297"/>
      <c r="H193" s="297"/>
      <c r="Y193" s="297"/>
      <c r="Z193" s="297"/>
      <c r="AA193" s="297"/>
      <c r="AB193" s="297"/>
      <c r="AC193" s="297"/>
      <c r="AD193" s="297"/>
    </row>
    <row r="194" spans="1:30" x14ac:dyDescent="0.3">
      <c r="A194" s="297"/>
      <c r="B194" s="297"/>
      <c r="C194" s="297"/>
      <c r="D194" s="297"/>
      <c r="E194" s="297"/>
      <c r="F194" s="297"/>
      <c r="G194" s="297"/>
      <c r="H194" s="297"/>
      <c r="Y194" s="297"/>
      <c r="Z194" s="297"/>
      <c r="AA194" s="297"/>
      <c r="AB194" s="297"/>
      <c r="AC194" s="297"/>
      <c r="AD194" s="297"/>
    </row>
    <row r="195" spans="1:30" x14ac:dyDescent="0.3">
      <c r="A195" s="297"/>
      <c r="B195" s="297"/>
      <c r="C195" s="297"/>
      <c r="D195" s="297"/>
      <c r="E195" s="297"/>
      <c r="F195" s="297"/>
      <c r="G195" s="297"/>
      <c r="H195" s="297"/>
      <c r="Y195" s="297"/>
      <c r="Z195" s="297"/>
      <c r="AA195" s="297"/>
      <c r="AB195" s="297"/>
      <c r="AC195" s="297"/>
      <c r="AD195" s="297"/>
    </row>
    <row r="196" spans="1:30" x14ac:dyDescent="0.3">
      <c r="A196" s="297"/>
      <c r="B196" s="297"/>
      <c r="C196" s="297"/>
      <c r="D196" s="297"/>
      <c r="E196" s="297"/>
      <c r="F196" s="297"/>
      <c r="G196" s="297"/>
      <c r="H196" s="297"/>
      <c r="Y196" s="297"/>
      <c r="Z196" s="297"/>
      <c r="AA196" s="297"/>
      <c r="AB196" s="297"/>
      <c r="AC196" s="297"/>
      <c r="AD196" s="297"/>
    </row>
    <row r="197" spans="1:30" x14ac:dyDescent="0.3">
      <c r="A197" s="297"/>
      <c r="B197" s="297"/>
      <c r="C197" s="297"/>
      <c r="D197" s="297"/>
      <c r="E197" s="297"/>
      <c r="F197" s="297"/>
      <c r="G197" s="297"/>
      <c r="H197" s="297"/>
      <c r="Y197" s="297"/>
      <c r="Z197" s="297"/>
      <c r="AA197" s="297"/>
      <c r="AB197" s="297"/>
      <c r="AC197" s="297"/>
      <c r="AD197" s="297"/>
    </row>
    <row r="198" spans="1:30" x14ac:dyDescent="0.3">
      <c r="A198" s="297"/>
      <c r="B198" s="297"/>
      <c r="C198" s="297"/>
      <c r="D198" s="297"/>
      <c r="E198" s="297"/>
      <c r="F198" s="297"/>
      <c r="G198" s="297"/>
      <c r="H198" s="297"/>
      <c r="Y198" s="297"/>
      <c r="Z198" s="297"/>
      <c r="AA198" s="297"/>
      <c r="AB198" s="297"/>
      <c r="AC198" s="297"/>
      <c r="AD198" s="297"/>
    </row>
    <row r="199" spans="1:30" x14ac:dyDescent="0.3">
      <c r="A199" s="297"/>
      <c r="B199" s="297"/>
      <c r="C199" s="297"/>
      <c r="D199" s="297"/>
      <c r="E199" s="297"/>
      <c r="F199" s="297"/>
      <c r="G199" s="297"/>
      <c r="H199" s="297"/>
      <c r="Y199" s="297"/>
      <c r="Z199" s="297"/>
      <c r="AA199" s="297"/>
      <c r="AB199" s="297"/>
      <c r="AC199" s="297"/>
      <c r="AD199" s="297"/>
    </row>
    <row r="200" spans="1:30" x14ac:dyDescent="0.3">
      <c r="A200" s="297"/>
      <c r="B200" s="297"/>
      <c r="C200" s="297"/>
      <c r="D200" s="297"/>
      <c r="E200" s="297"/>
      <c r="F200" s="297"/>
      <c r="G200" s="297"/>
      <c r="H200" s="297"/>
      <c r="Y200" s="297"/>
      <c r="Z200" s="297"/>
      <c r="AA200" s="297"/>
      <c r="AB200" s="297"/>
      <c r="AC200" s="297"/>
      <c r="AD200" s="297"/>
    </row>
    <row r="201" spans="1:30" x14ac:dyDescent="0.3">
      <c r="A201" s="297"/>
      <c r="B201" s="297"/>
      <c r="C201" s="297"/>
      <c r="D201" s="297"/>
      <c r="E201" s="297"/>
      <c r="F201" s="297"/>
      <c r="G201" s="297"/>
      <c r="H201" s="297"/>
      <c r="Y201" s="297"/>
      <c r="Z201" s="297"/>
      <c r="AA201" s="297"/>
      <c r="AB201" s="297"/>
      <c r="AC201" s="297"/>
      <c r="AD201" s="297"/>
    </row>
    <row r="202" spans="1:30" x14ac:dyDescent="0.3">
      <c r="A202" s="297"/>
      <c r="B202" s="297"/>
      <c r="C202" s="297"/>
      <c r="D202" s="297"/>
      <c r="E202" s="297"/>
      <c r="F202" s="297"/>
      <c r="G202" s="297"/>
      <c r="H202" s="297"/>
      <c r="Y202" s="297"/>
      <c r="Z202" s="297"/>
      <c r="AA202" s="297"/>
      <c r="AB202" s="297"/>
      <c r="AC202" s="297"/>
      <c r="AD202" s="297"/>
    </row>
    <row r="203" spans="1:30" x14ac:dyDescent="0.3">
      <c r="A203" s="297"/>
      <c r="B203" s="297"/>
      <c r="C203" s="297"/>
      <c r="D203" s="297"/>
      <c r="E203" s="297"/>
      <c r="F203" s="297"/>
      <c r="G203" s="297"/>
      <c r="H203" s="297"/>
      <c r="Y203" s="297"/>
      <c r="Z203" s="297"/>
      <c r="AA203" s="297"/>
      <c r="AB203" s="297"/>
      <c r="AC203" s="297"/>
      <c r="AD203" s="297"/>
    </row>
    <row r="204" spans="1:30" x14ac:dyDescent="0.3">
      <c r="A204" s="297"/>
      <c r="B204" s="297"/>
      <c r="C204" s="297"/>
      <c r="D204" s="297"/>
      <c r="E204" s="297"/>
      <c r="F204" s="297"/>
      <c r="G204" s="297"/>
      <c r="H204" s="297"/>
      <c r="Y204" s="297"/>
      <c r="Z204" s="297"/>
      <c r="AA204" s="297"/>
      <c r="AB204" s="297"/>
      <c r="AC204" s="297"/>
      <c r="AD204" s="297"/>
    </row>
    <row r="205" spans="1:30" x14ac:dyDescent="0.3">
      <c r="A205" s="297"/>
      <c r="B205" s="297"/>
      <c r="C205" s="297"/>
      <c r="D205" s="297"/>
      <c r="E205" s="297"/>
      <c r="F205" s="297"/>
      <c r="G205" s="297"/>
      <c r="H205" s="297"/>
      <c r="Y205" s="297"/>
      <c r="Z205" s="297"/>
      <c r="AA205" s="297"/>
      <c r="AB205" s="297"/>
      <c r="AC205" s="297"/>
      <c r="AD205" s="297"/>
    </row>
    <row r="206" spans="1:30" x14ac:dyDescent="0.3">
      <c r="A206" s="297"/>
      <c r="B206" s="297"/>
      <c r="C206" s="297"/>
      <c r="D206" s="297"/>
      <c r="E206" s="297"/>
      <c r="F206" s="297"/>
      <c r="G206" s="297"/>
      <c r="H206" s="297"/>
      <c r="Y206" s="297"/>
      <c r="Z206" s="297"/>
      <c r="AA206" s="297"/>
      <c r="AB206" s="297"/>
      <c r="AC206" s="297"/>
      <c r="AD206" s="297"/>
    </row>
    <row r="207" spans="1:30" x14ac:dyDescent="0.3">
      <c r="A207" s="297"/>
      <c r="B207" s="297"/>
      <c r="C207" s="297"/>
      <c r="D207" s="297"/>
      <c r="E207" s="297"/>
      <c r="F207" s="297"/>
      <c r="G207" s="297"/>
      <c r="H207" s="297"/>
      <c r="Y207" s="297"/>
      <c r="Z207" s="297"/>
      <c r="AA207" s="297"/>
      <c r="AB207" s="297"/>
      <c r="AC207" s="297"/>
      <c r="AD207" s="297"/>
    </row>
    <row r="208" spans="1:30" x14ac:dyDescent="0.3">
      <c r="A208" s="297"/>
      <c r="B208" s="297"/>
      <c r="C208" s="297"/>
      <c r="D208" s="297"/>
      <c r="E208" s="297"/>
      <c r="F208" s="297"/>
      <c r="G208" s="297"/>
      <c r="H208" s="297"/>
      <c r="Y208" s="297"/>
      <c r="Z208" s="297"/>
      <c r="AA208" s="297"/>
      <c r="AB208" s="297"/>
      <c r="AC208" s="297"/>
      <c r="AD208" s="297"/>
    </row>
    <row r="209" spans="1:30" x14ac:dyDescent="0.3">
      <c r="A209" s="297"/>
      <c r="B209" s="297"/>
      <c r="C209" s="297"/>
      <c r="D209" s="297"/>
      <c r="E209" s="297"/>
      <c r="F209" s="297"/>
      <c r="G209" s="297"/>
      <c r="H209" s="297"/>
      <c r="Y209" s="297"/>
      <c r="Z209" s="297"/>
      <c r="AA209" s="297"/>
      <c r="AB209" s="297"/>
      <c r="AC209" s="297"/>
      <c r="AD209" s="297"/>
    </row>
    <row r="210" spans="1:30" x14ac:dyDescent="0.3">
      <c r="A210" s="297"/>
      <c r="B210" s="297"/>
      <c r="C210" s="297"/>
      <c r="D210" s="297"/>
      <c r="E210" s="297"/>
      <c r="F210" s="297"/>
      <c r="G210" s="297"/>
      <c r="H210" s="297"/>
      <c r="Y210" s="297"/>
      <c r="Z210" s="297"/>
      <c r="AA210" s="297"/>
      <c r="AB210" s="297"/>
      <c r="AC210" s="297"/>
      <c r="AD210" s="297"/>
    </row>
  </sheetData>
  <mergeCells count="15">
    <mergeCell ref="J5:J6"/>
    <mergeCell ref="K5:K7"/>
    <mergeCell ref="L5:L7"/>
    <mergeCell ref="C12:D12"/>
    <mergeCell ref="A1:X1"/>
    <mergeCell ref="M2:X2"/>
    <mergeCell ref="A3:C3"/>
    <mergeCell ref="Q3:X3"/>
    <mergeCell ref="A4:A6"/>
    <mergeCell ref="D4:E4"/>
    <mergeCell ref="F4:F6"/>
    <mergeCell ref="D5:D6"/>
    <mergeCell ref="E5:E6"/>
    <mergeCell ref="G5:G6"/>
    <mergeCell ref="A2:E2"/>
  </mergeCells>
  <pageMargins left="0.19685039370078741" right="0.19685039370078741" top="0.59055118110236227" bottom="0.98425196850393704" header="0.23622047244094491" footer="0.51181102362204722"/>
  <pageSetup paperSize="8" scale="5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79998168889431442"/>
  </sheetPr>
  <dimension ref="A1:X515"/>
  <sheetViews>
    <sheetView view="pageBreakPreview" topLeftCell="A70" zoomScaleNormal="100" zoomScaleSheetLayoutView="100" workbookViewId="0">
      <selection activeCell="M64" sqref="M64"/>
    </sheetView>
  </sheetViews>
  <sheetFormatPr defaultColWidth="36.453125" defaultRowHeight="12.5" x14ac:dyDescent="0.25"/>
  <cols>
    <col min="1" max="1" width="12" style="207" customWidth="1"/>
    <col min="2" max="2" width="18.1796875" style="207" customWidth="1"/>
    <col min="3" max="3" width="24.81640625" style="207" customWidth="1"/>
    <col min="4" max="4" width="17.453125" style="207" customWidth="1"/>
    <col min="5" max="5" width="17.1796875" style="207" customWidth="1"/>
    <col min="6" max="6" width="19" style="209" customWidth="1"/>
    <col min="7" max="7" width="18.1796875" style="207" customWidth="1"/>
    <col min="8" max="9" width="16.54296875" style="207" customWidth="1"/>
    <col min="10" max="10" width="31.1796875" style="600" customWidth="1"/>
    <col min="11" max="11" width="11.54296875" style="207" customWidth="1"/>
    <col min="12" max="12" width="38.453125" style="207" hidden="1" customWidth="1"/>
    <col min="13" max="13" width="0.54296875" style="207" customWidth="1"/>
    <col min="14" max="14" width="15.1796875" style="207" customWidth="1"/>
    <col min="15" max="254" width="9.1796875" style="207" customWidth="1"/>
    <col min="255" max="255" width="36.453125" style="207"/>
    <col min="256" max="256" width="36.453125" style="207" bestFit="1" customWidth="1"/>
    <col min="257" max="257" width="18.1796875" style="207" customWidth="1"/>
    <col min="258" max="258" width="21.1796875" style="207" customWidth="1"/>
    <col min="259" max="259" width="19.1796875" style="207" customWidth="1"/>
    <col min="260" max="260" width="20.54296875" style="207" customWidth="1"/>
    <col min="261" max="261" width="17.81640625" style="207" customWidth="1"/>
    <col min="262" max="262" width="15.1796875" style="207" customWidth="1"/>
    <col min="263" max="263" width="18.1796875" style="207" customWidth="1"/>
    <col min="264" max="264" width="16.54296875" style="207" customWidth="1"/>
    <col min="265" max="267" width="15.81640625" style="207" customWidth="1"/>
    <col min="268" max="268" width="14.1796875" style="207" customWidth="1"/>
    <col min="269" max="269" width="13.81640625" style="207" customWidth="1"/>
    <col min="270" max="270" width="15.1796875" style="207" customWidth="1"/>
    <col min="271" max="510" width="9.1796875" style="207" customWidth="1"/>
    <col min="511" max="511" width="36.453125" style="207"/>
    <col min="512" max="512" width="36.453125" style="207" bestFit="1" customWidth="1"/>
    <col min="513" max="513" width="18.1796875" style="207" customWidth="1"/>
    <col min="514" max="514" width="21.1796875" style="207" customWidth="1"/>
    <col min="515" max="515" width="19.1796875" style="207" customWidth="1"/>
    <col min="516" max="516" width="20.54296875" style="207" customWidth="1"/>
    <col min="517" max="517" width="17.81640625" style="207" customWidth="1"/>
    <col min="518" max="518" width="15.1796875" style="207" customWidth="1"/>
    <col min="519" max="519" width="18.1796875" style="207" customWidth="1"/>
    <col min="520" max="520" width="16.54296875" style="207" customWidth="1"/>
    <col min="521" max="523" width="15.81640625" style="207" customWidth="1"/>
    <col min="524" max="524" width="14.1796875" style="207" customWidth="1"/>
    <col min="525" max="525" width="13.81640625" style="207" customWidth="1"/>
    <col min="526" max="526" width="15.1796875" style="207" customWidth="1"/>
    <col min="527" max="766" width="9.1796875" style="207" customWidth="1"/>
    <col min="767" max="767" width="36.453125" style="207"/>
    <col min="768" max="768" width="36.453125" style="207" bestFit="1" customWidth="1"/>
    <col min="769" max="769" width="18.1796875" style="207" customWidth="1"/>
    <col min="770" max="770" width="21.1796875" style="207" customWidth="1"/>
    <col min="771" max="771" width="19.1796875" style="207" customWidth="1"/>
    <col min="772" max="772" width="20.54296875" style="207" customWidth="1"/>
    <col min="773" max="773" width="17.81640625" style="207" customWidth="1"/>
    <col min="774" max="774" width="15.1796875" style="207" customWidth="1"/>
    <col min="775" max="775" width="18.1796875" style="207" customWidth="1"/>
    <col min="776" max="776" width="16.54296875" style="207" customWidth="1"/>
    <col min="777" max="779" width="15.81640625" style="207" customWidth="1"/>
    <col min="780" max="780" width="14.1796875" style="207" customWidth="1"/>
    <col min="781" max="781" width="13.81640625" style="207" customWidth="1"/>
    <col min="782" max="782" width="15.1796875" style="207" customWidth="1"/>
    <col min="783" max="1022" width="9.1796875" style="207" customWidth="1"/>
    <col min="1023" max="1023" width="36.453125" style="207"/>
    <col min="1024" max="1024" width="36.453125" style="207" bestFit="1" customWidth="1"/>
    <col min="1025" max="1025" width="18.1796875" style="207" customWidth="1"/>
    <col min="1026" max="1026" width="21.1796875" style="207" customWidth="1"/>
    <col min="1027" max="1027" width="19.1796875" style="207" customWidth="1"/>
    <col min="1028" max="1028" width="20.54296875" style="207" customWidth="1"/>
    <col min="1029" max="1029" width="17.81640625" style="207" customWidth="1"/>
    <col min="1030" max="1030" width="15.1796875" style="207" customWidth="1"/>
    <col min="1031" max="1031" width="18.1796875" style="207" customWidth="1"/>
    <col min="1032" max="1032" width="16.54296875" style="207" customWidth="1"/>
    <col min="1033" max="1035" width="15.81640625" style="207" customWidth="1"/>
    <col min="1036" max="1036" width="14.1796875" style="207" customWidth="1"/>
    <col min="1037" max="1037" width="13.81640625" style="207" customWidth="1"/>
    <col min="1038" max="1038" width="15.1796875" style="207" customWidth="1"/>
    <col min="1039" max="1278" width="9.1796875" style="207" customWidth="1"/>
    <col min="1279" max="1279" width="36.453125" style="207"/>
    <col min="1280" max="1280" width="36.453125" style="207" bestFit="1" customWidth="1"/>
    <col min="1281" max="1281" width="18.1796875" style="207" customWidth="1"/>
    <col min="1282" max="1282" width="21.1796875" style="207" customWidth="1"/>
    <col min="1283" max="1283" width="19.1796875" style="207" customWidth="1"/>
    <col min="1284" max="1284" width="20.54296875" style="207" customWidth="1"/>
    <col min="1285" max="1285" width="17.81640625" style="207" customWidth="1"/>
    <col min="1286" max="1286" width="15.1796875" style="207" customWidth="1"/>
    <col min="1287" max="1287" width="18.1796875" style="207" customWidth="1"/>
    <col min="1288" max="1288" width="16.54296875" style="207" customWidth="1"/>
    <col min="1289" max="1291" width="15.81640625" style="207" customWidth="1"/>
    <col min="1292" max="1292" width="14.1796875" style="207" customWidth="1"/>
    <col min="1293" max="1293" width="13.81640625" style="207" customWidth="1"/>
    <col min="1294" max="1294" width="15.1796875" style="207" customWidth="1"/>
    <col min="1295" max="1534" width="9.1796875" style="207" customWidth="1"/>
    <col min="1535" max="1535" width="36.453125" style="207"/>
    <col min="1536" max="1536" width="36.453125" style="207" bestFit="1" customWidth="1"/>
    <col min="1537" max="1537" width="18.1796875" style="207" customWidth="1"/>
    <col min="1538" max="1538" width="21.1796875" style="207" customWidth="1"/>
    <col min="1539" max="1539" width="19.1796875" style="207" customWidth="1"/>
    <col min="1540" max="1540" width="20.54296875" style="207" customWidth="1"/>
    <col min="1541" max="1541" width="17.81640625" style="207" customWidth="1"/>
    <col min="1542" max="1542" width="15.1796875" style="207" customWidth="1"/>
    <col min="1543" max="1543" width="18.1796875" style="207" customWidth="1"/>
    <col min="1544" max="1544" width="16.54296875" style="207" customWidth="1"/>
    <col min="1545" max="1547" width="15.81640625" style="207" customWidth="1"/>
    <col min="1548" max="1548" width="14.1796875" style="207" customWidth="1"/>
    <col min="1549" max="1549" width="13.81640625" style="207" customWidth="1"/>
    <col min="1550" max="1550" width="15.1796875" style="207" customWidth="1"/>
    <col min="1551" max="1790" width="9.1796875" style="207" customWidth="1"/>
    <col min="1791" max="1791" width="36.453125" style="207"/>
    <col min="1792" max="1792" width="36.453125" style="207" bestFit="1" customWidth="1"/>
    <col min="1793" max="1793" width="18.1796875" style="207" customWidth="1"/>
    <col min="1794" max="1794" width="21.1796875" style="207" customWidth="1"/>
    <col min="1795" max="1795" width="19.1796875" style="207" customWidth="1"/>
    <col min="1796" max="1796" width="20.54296875" style="207" customWidth="1"/>
    <col min="1797" max="1797" width="17.81640625" style="207" customWidth="1"/>
    <col min="1798" max="1798" width="15.1796875" style="207" customWidth="1"/>
    <col min="1799" max="1799" width="18.1796875" style="207" customWidth="1"/>
    <col min="1800" max="1800" width="16.54296875" style="207" customWidth="1"/>
    <col min="1801" max="1803" width="15.81640625" style="207" customWidth="1"/>
    <col min="1804" max="1804" width="14.1796875" style="207" customWidth="1"/>
    <col min="1805" max="1805" width="13.81640625" style="207" customWidth="1"/>
    <col min="1806" max="1806" width="15.1796875" style="207" customWidth="1"/>
    <col min="1807" max="2046" width="9.1796875" style="207" customWidth="1"/>
    <col min="2047" max="2047" width="36.453125" style="207"/>
    <col min="2048" max="2048" width="36.453125" style="207" bestFit="1" customWidth="1"/>
    <col min="2049" max="2049" width="18.1796875" style="207" customWidth="1"/>
    <col min="2050" max="2050" width="21.1796875" style="207" customWidth="1"/>
    <col min="2051" max="2051" width="19.1796875" style="207" customWidth="1"/>
    <col min="2052" max="2052" width="20.54296875" style="207" customWidth="1"/>
    <col min="2053" max="2053" width="17.81640625" style="207" customWidth="1"/>
    <col min="2054" max="2054" width="15.1796875" style="207" customWidth="1"/>
    <col min="2055" max="2055" width="18.1796875" style="207" customWidth="1"/>
    <col min="2056" max="2056" width="16.54296875" style="207" customWidth="1"/>
    <col min="2057" max="2059" width="15.81640625" style="207" customWidth="1"/>
    <col min="2060" max="2060" width="14.1796875" style="207" customWidth="1"/>
    <col min="2061" max="2061" width="13.81640625" style="207" customWidth="1"/>
    <col min="2062" max="2062" width="15.1796875" style="207" customWidth="1"/>
    <col min="2063" max="2302" width="9.1796875" style="207" customWidth="1"/>
    <col min="2303" max="2303" width="36.453125" style="207"/>
    <col min="2304" max="2304" width="36.453125" style="207" bestFit="1" customWidth="1"/>
    <col min="2305" max="2305" width="18.1796875" style="207" customWidth="1"/>
    <col min="2306" max="2306" width="21.1796875" style="207" customWidth="1"/>
    <col min="2307" max="2307" width="19.1796875" style="207" customWidth="1"/>
    <col min="2308" max="2308" width="20.54296875" style="207" customWidth="1"/>
    <col min="2309" max="2309" width="17.81640625" style="207" customWidth="1"/>
    <col min="2310" max="2310" width="15.1796875" style="207" customWidth="1"/>
    <col min="2311" max="2311" width="18.1796875" style="207" customWidth="1"/>
    <col min="2312" max="2312" width="16.54296875" style="207" customWidth="1"/>
    <col min="2313" max="2315" width="15.81640625" style="207" customWidth="1"/>
    <col min="2316" max="2316" width="14.1796875" style="207" customWidth="1"/>
    <col min="2317" max="2317" width="13.81640625" style="207" customWidth="1"/>
    <col min="2318" max="2318" width="15.1796875" style="207" customWidth="1"/>
    <col min="2319" max="2558" width="9.1796875" style="207" customWidth="1"/>
    <col min="2559" max="2559" width="36.453125" style="207"/>
    <col min="2560" max="2560" width="36.453125" style="207" bestFit="1" customWidth="1"/>
    <col min="2561" max="2561" width="18.1796875" style="207" customWidth="1"/>
    <col min="2562" max="2562" width="21.1796875" style="207" customWidth="1"/>
    <col min="2563" max="2563" width="19.1796875" style="207" customWidth="1"/>
    <col min="2564" max="2564" width="20.54296875" style="207" customWidth="1"/>
    <col min="2565" max="2565" width="17.81640625" style="207" customWidth="1"/>
    <col min="2566" max="2566" width="15.1796875" style="207" customWidth="1"/>
    <col min="2567" max="2567" width="18.1796875" style="207" customWidth="1"/>
    <col min="2568" max="2568" width="16.54296875" style="207" customWidth="1"/>
    <col min="2569" max="2571" width="15.81640625" style="207" customWidth="1"/>
    <col min="2572" max="2572" width="14.1796875" style="207" customWidth="1"/>
    <col min="2573" max="2573" width="13.81640625" style="207" customWidth="1"/>
    <col min="2574" max="2574" width="15.1796875" style="207" customWidth="1"/>
    <col min="2575" max="2814" width="9.1796875" style="207" customWidth="1"/>
    <col min="2815" max="2815" width="36.453125" style="207"/>
    <col min="2816" max="2816" width="36.453125" style="207" bestFit="1" customWidth="1"/>
    <col min="2817" max="2817" width="18.1796875" style="207" customWidth="1"/>
    <col min="2818" max="2818" width="21.1796875" style="207" customWidth="1"/>
    <col min="2819" max="2819" width="19.1796875" style="207" customWidth="1"/>
    <col min="2820" max="2820" width="20.54296875" style="207" customWidth="1"/>
    <col min="2821" max="2821" width="17.81640625" style="207" customWidth="1"/>
    <col min="2822" max="2822" width="15.1796875" style="207" customWidth="1"/>
    <col min="2823" max="2823" width="18.1796875" style="207" customWidth="1"/>
    <col min="2824" max="2824" width="16.54296875" style="207" customWidth="1"/>
    <col min="2825" max="2827" width="15.81640625" style="207" customWidth="1"/>
    <col min="2828" max="2828" width="14.1796875" style="207" customWidth="1"/>
    <col min="2829" max="2829" width="13.81640625" style="207" customWidth="1"/>
    <col min="2830" max="2830" width="15.1796875" style="207" customWidth="1"/>
    <col min="2831" max="3070" width="9.1796875" style="207" customWidth="1"/>
    <col min="3071" max="3071" width="36.453125" style="207"/>
    <col min="3072" max="3072" width="36.453125" style="207" bestFit="1" customWidth="1"/>
    <col min="3073" max="3073" width="18.1796875" style="207" customWidth="1"/>
    <col min="3074" max="3074" width="21.1796875" style="207" customWidth="1"/>
    <col min="3075" max="3075" width="19.1796875" style="207" customWidth="1"/>
    <col min="3076" max="3076" width="20.54296875" style="207" customWidth="1"/>
    <col min="3077" max="3077" width="17.81640625" style="207" customWidth="1"/>
    <col min="3078" max="3078" width="15.1796875" style="207" customWidth="1"/>
    <col min="3079" max="3079" width="18.1796875" style="207" customWidth="1"/>
    <col min="3080" max="3080" width="16.54296875" style="207" customWidth="1"/>
    <col min="3081" max="3083" width="15.81640625" style="207" customWidth="1"/>
    <col min="3084" max="3084" width="14.1796875" style="207" customWidth="1"/>
    <col min="3085" max="3085" width="13.81640625" style="207" customWidth="1"/>
    <col min="3086" max="3086" width="15.1796875" style="207" customWidth="1"/>
    <col min="3087" max="3326" width="9.1796875" style="207" customWidth="1"/>
    <col min="3327" max="3327" width="36.453125" style="207"/>
    <col min="3328" max="3328" width="36.453125" style="207" bestFit="1" customWidth="1"/>
    <col min="3329" max="3329" width="18.1796875" style="207" customWidth="1"/>
    <col min="3330" max="3330" width="21.1796875" style="207" customWidth="1"/>
    <col min="3331" max="3331" width="19.1796875" style="207" customWidth="1"/>
    <col min="3332" max="3332" width="20.54296875" style="207" customWidth="1"/>
    <col min="3333" max="3333" width="17.81640625" style="207" customWidth="1"/>
    <col min="3334" max="3334" width="15.1796875" style="207" customWidth="1"/>
    <col min="3335" max="3335" width="18.1796875" style="207" customWidth="1"/>
    <col min="3336" max="3336" width="16.54296875" style="207" customWidth="1"/>
    <col min="3337" max="3339" width="15.81640625" style="207" customWidth="1"/>
    <col min="3340" max="3340" width="14.1796875" style="207" customWidth="1"/>
    <col min="3341" max="3341" width="13.81640625" style="207" customWidth="1"/>
    <col min="3342" max="3342" width="15.1796875" style="207" customWidth="1"/>
    <col min="3343" max="3582" width="9.1796875" style="207" customWidth="1"/>
    <col min="3583" max="3583" width="36.453125" style="207"/>
    <col min="3584" max="3584" width="36.453125" style="207" bestFit="1" customWidth="1"/>
    <col min="3585" max="3585" width="18.1796875" style="207" customWidth="1"/>
    <col min="3586" max="3586" width="21.1796875" style="207" customWidth="1"/>
    <col min="3587" max="3587" width="19.1796875" style="207" customWidth="1"/>
    <col min="3588" max="3588" width="20.54296875" style="207" customWidth="1"/>
    <col min="3589" max="3589" width="17.81640625" style="207" customWidth="1"/>
    <col min="3590" max="3590" width="15.1796875" style="207" customWidth="1"/>
    <col min="3591" max="3591" width="18.1796875" style="207" customWidth="1"/>
    <col min="3592" max="3592" width="16.54296875" style="207" customWidth="1"/>
    <col min="3593" max="3595" width="15.81640625" style="207" customWidth="1"/>
    <col min="3596" max="3596" width="14.1796875" style="207" customWidth="1"/>
    <col min="3597" max="3597" width="13.81640625" style="207" customWidth="1"/>
    <col min="3598" max="3598" width="15.1796875" style="207" customWidth="1"/>
    <col min="3599" max="3838" width="9.1796875" style="207" customWidth="1"/>
    <col min="3839" max="3839" width="36.453125" style="207"/>
    <col min="3840" max="3840" width="36.453125" style="207" bestFit="1" customWidth="1"/>
    <col min="3841" max="3841" width="18.1796875" style="207" customWidth="1"/>
    <col min="3842" max="3842" width="21.1796875" style="207" customWidth="1"/>
    <col min="3843" max="3843" width="19.1796875" style="207" customWidth="1"/>
    <col min="3844" max="3844" width="20.54296875" style="207" customWidth="1"/>
    <col min="3845" max="3845" width="17.81640625" style="207" customWidth="1"/>
    <col min="3846" max="3846" width="15.1796875" style="207" customWidth="1"/>
    <col min="3847" max="3847" width="18.1796875" style="207" customWidth="1"/>
    <col min="3848" max="3848" width="16.54296875" style="207" customWidth="1"/>
    <col min="3849" max="3851" width="15.81640625" style="207" customWidth="1"/>
    <col min="3852" max="3852" width="14.1796875" style="207" customWidth="1"/>
    <col min="3853" max="3853" width="13.81640625" style="207" customWidth="1"/>
    <col min="3854" max="3854" width="15.1796875" style="207" customWidth="1"/>
    <col min="3855" max="4094" width="9.1796875" style="207" customWidth="1"/>
    <col min="4095" max="4095" width="36.453125" style="207"/>
    <col min="4096" max="4096" width="36.453125" style="207" bestFit="1" customWidth="1"/>
    <col min="4097" max="4097" width="18.1796875" style="207" customWidth="1"/>
    <col min="4098" max="4098" width="21.1796875" style="207" customWidth="1"/>
    <col min="4099" max="4099" width="19.1796875" style="207" customWidth="1"/>
    <col min="4100" max="4100" width="20.54296875" style="207" customWidth="1"/>
    <col min="4101" max="4101" width="17.81640625" style="207" customWidth="1"/>
    <col min="4102" max="4102" width="15.1796875" style="207" customWidth="1"/>
    <col min="4103" max="4103" width="18.1796875" style="207" customWidth="1"/>
    <col min="4104" max="4104" width="16.54296875" style="207" customWidth="1"/>
    <col min="4105" max="4107" width="15.81640625" style="207" customWidth="1"/>
    <col min="4108" max="4108" width="14.1796875" style="207" customWidth="1"/>
    <col min="4109" max="4109" width="13.81640625" style="207" customWidth="1"/>
    <col min="4110" max="4110" width="15.1796875" style="207" customWidth="1"/>
    <col min="4111" max="4350" width="9.1796875" style="207" customWidth="1"/>
    <col min="4351" max="4351" width="36.453125" style="207"/>
    <col min="4352" max="4352" width="36.453125" style="207" bestFit="1" customWidth="1"/>
    <col min="4353" max="4353" width="18.1796875" style="207" customWidth="1"/>
    <col min="4354" max="4354" width="21.1796875" style="207" customWidth="1"/>
    <col min="4355" max="4355" width="19.1796875" style="207" customWidth="1"/>
    <col min="4356" max="4356" width="20.54296875" style="207" customWidth="1"/>
    <col min="4357" max="4357" width="17.81640625" style="207" customWidth="1"/>
    <col min="4358" max="4358" width="15.1796875" style="207" customWidth="1"/>
    <col min="4359" max="4359" width="18.1796875" style="207" customWidth="1"/>
    <col min="4360" max="4360" width="16.54296875" style="207" customWidth="1"/>
    <col min="4361" max="4363" width="15.81640625" style="207" customWidth="1"/>
    <col min="4364" max="4364" width="14.1796875" style="207" customWidth="1"/>
    <col min="4365" max="4365" width="13.81640625" style="207" customWidth="1"/>
    <col min="4366" max="4366" width="15.1796875" style="207" customWidth="1"/>
    <col min="4367" max="4606" width="9.1796875" style="207" customWidth="1"/>
    <col min="4607" max="4607" width="36.453125" style="207"/>
    <col min="4608" max="4608" width="36.453125" style="207" bestFit="1" customWidth="1"/>
    <col min="4609" max="4609" width="18.1796875" style="207" customWidth="1"/>
    <col min="4610" max="4610" width="21.1796875" style="207" customWidth="1"/>
    <col min="4611" max="4611" width="19.1796875" style="207" customWidth="1"/>
    <col min="4612" max="4612" width="20.54296875" style="207" customWidth="1"/>
    <col min="4613" max="4613" width="17.81640625" style="207" customWidth="1"/>
    <col min="4614" max="4614" width="15.1796875" style="207" customWidth="1"/>
    <col min="4615" max="4615" width="18.1796875" style="207" customWidth="1"/>
    <col min="4616" max="4616" width="16.54296875" style="207" customWidth="1"/>
    <col min="4617" max="4619" width="15.81640625" style="207" customWidth="1"/>
    <col min="4620" max="4620" width="14.1796875" style="207" customWidth="1"/>
    <col min="4621" max="4621" width="13.81640625" style="207" customWidth="1"/>
    <col min="4622" max="4622" width="15.1796875" style="207" customWidth="1"/>
    <col min="4623" max="4862" width="9.1796875" style="207" customWidth="1"/>
    <col min="4863" max="4863" width="36.453125" style="207"/>
    <col min="4864" max="4864" width="36.453125" style="207" bestFit="1" customWidth="1"/>
    <col min="4865" max="4865" width="18.1796875" style="207" customWidth="1"/>
    <col min="4866" max="4866" width="21.1796875" style="207" customWidth="1"/>
    <col min="4867" max="4867" width="19.1796875" style="207" customWidth="1"/>
    <col min="4868" max="4868" width="20.54296875" style="207" customWidth="1"/>
    <col min="4869" max="4869" width="17.81640625" style="207" customWidth="1"/>
    <col min="4870" max="4870" width="15.1796875" style="207" customWidth="1"/>
    <col min="4871" max="4871" width="18.1796875" style="207" customWidth="1"/>
    <col min="4872" max="4872" width="16.54296875" style="207" customWidth="1"/>
    <col min="4873" max="4875" width="15.81640625" style="207" customWidth="1"/>
    <col min="4876" max="4876" width="14.1796875" style="207" customWidth="1"/>
    <col min="4877" max="4877" width="13.81640625" style="207" customWidth="1"/>
    <col min="4878" max="4878" width="15.1796875" style="207" customWidth="1"/>
    <col min="4879" max="5118" width="9.1796875" style="207" customWidth="1"/>
    <col min="5119" max="5119" width="36.453125" style="207"/>
    <col min="5120" max="5120" width="36.453125" style="207" bestFit="1" customWidth="1"/>
    <col min="5121" max="5121" width="18.1796875" style="207" customWidth="1"/>
    <col min="5122" max="5122" width="21.1796875" style="207" customWidth="1"/>
    <col min="5123" max="5123" width="19.1796875" style="207" customWidth="1"/>
    <col min="5124" max="5124" width="20.54296875" style="207" customWidth="1"/>
    <col min="5125" max="5125" width="17.81640625" style="207" customWidth="1"/>
    <col min="5126" max="5126" width="15.1796875" style="207" customWidth="1"/>
    <col min="5127" max="5127" width="18.1796875" style="207" customWidth="1"/>
    <col min="5128" max="5128" width="16.54296875" style="207" customWidth="1"/>
    <col min="5129" max="5131" width="15.81640625" style="207" customWidth="1"/>
    <col min="5132" max="5132" width="14.1796875" style="207" customWidth="1"/>
    <col min="5133" max="5133" width="13.81640625" style="207" customWidth="1"/>
    <col min="5134" max="5134" width="15.1796875" style="207" customWidth="1"/>
    <col min="5135" max="5374" width="9.1796875" style="207" customWidth="1"/>
    <col min="5375" max="5375" width="36.453125" style="207"/>
    <col min="5376" max="5376" width="36.453125" style="207" bestFit="1" customWidth="1"/>
    <col min="5377" max="5377" width="18.1796875" style="207" customWidth="1"/>
    <col min="5378" max="5378" width="21.1796875" style="207" customWidth="1"/>
    <col min="5379" max="5379" width="19.1796875" style="207" customWidth="1"/>
    <col min="5380" max="5380" width="20.54296875" style="207" customWidth="1"/>
    <col min="5381" max="5381" width="17.81640625" style="207" customWidth="1"/>
    <col min="5382" max="5382" width="15.1796875" style="207" customWidth="1"/>
    <col min="5383" max="5383" width="18.1796875" style="207" customWidth="1"/>
    <col min="5384" max="5384" width="16.54296875" style="207" customWidth="1"/>
    <col min="5385" max="5387" width="15.81640625" style="207" customWidth="1"/>
    <col min="5388" max="5388" width="14.1796875" style="207" customWidth="1"/>
    <col min="5389" max="5389" width="13.81640625" style="207" customWidth="1"/>
    <col min="5390" max="5390" width="15.1796875" style="207" customWidth="1"/>
    <col min="5391" max="5630" width="9.1796875" style="207" customWidth="1"/>
    <col min="5631" max="5631" width="36.453125" style="207"/>
    <col min="5632" max="5632" width="36.453125" style="207" bestFit="1" customWidth="1"/>
    <col min="5633" max="5633" width="18.1796875" style="207" customWidth="1"/>
    <col min="5634" max="5634" width="21.1796875" style="207" customWidth="1"/>
    <col min="5635" max="5635" width="19.1796875" style="207" customWidth="1"/>
    <col min="5636" max="5636" width="20.54296875" style="207" customWidth="1"/>
    <col min="5637" max="5637" width="17.81640625" style="207" customWidth="1"/>
    <col min="5638" max="5638" width="15.1796875" style="207" customWidth="1"/>
    <col min="5639" max="5639" width="18.1796875" style="207" customWidth="1"/>
    <col min="5640" max="5640" width="16.54296875" style="207" customWidth="1"/>
    <col min="5641" max="5643" width="15.81640625" style="207" customWidth="1"/>
    <col min="5644" max="5644" width="14.1796875" style="207" customWidth="1"/>
    <col min="5645" max="5645" width="13.81640625" style="207" customWidth="1"/>
    <col min="5646" max="5646" width="15.1796875" style="207" customWidth="1"/>
    <col min="5647" max="5886" width="9.1796875" style="207" customWidth="1"/>
    <col min="5887" max="5887" width="36.453125" style="207"/>
    <col min="5888" max="5888" width="36.453125" style="207" bestFit="1" customWidth="1"/>
    <col min="5889" max="5889" width="18.1796875" style="207" customWidth="1"/>
    <col min="5890" max="5890" width="21.1796875" style="207" customWidth="1"/>
    <col min="5891" max="5891" width="19.1796875" style="207" customWidth="1"/>
    <col min="5892" max="5892" width="20.54296875" style="207" customWidth="1"/>
    <col min="5893" max="5893" width="17.81640625" style="207" customWidth="1"/>
    <col min="5894" max="5894" width="15.1796875" style="207" customWidth="1"/>
    <col min="5895" max="5895" width="18.1796875" style="207" customWidth="1"/>
    <col min="5896" max="5896" width="16.54296875" style="207" customWidth="1"/>
    <col min="5897" max="5899" width="15.81640625" style="207" customWidth="1"/>
    <col min="5900" max="5900" width="14.1796875" style="207" customWidth="1"/>
    <col min="5901" max="5901" width="13.81640625" style="207" customWidth="1"/>
    <col min="5902" max="5902" width="15.1796875" style="207" customWidth="1"/>
    <col min="5903" max="6142" width="9.1796875" style="207" customWidth="1"/>
    <col min="6143" max="6143" width="36.453125" style="207"/>
    <col min="6144" max="6144" width="36.453125" style="207" bestFit="1" customWidth="1"/>
    <col min="6145" max="6145" width="18.1796875" style="207" customWidth="1"/>
    <col min="6146" max="6146" width="21.1796875" style="207" customWidth="1"/>
    <col min="6147" max="6147" width="19.1796875" style="207" customWidth="1"/>
    <col min="6148" max="6148" width="20.54296875" style="207" customWidth="1"/>
    <col min="6149" max="6149" width="17.81640625" style="207" customWidth="1"/>
    <col min="6150" max="6150" width="15.1796875" style="207" customWidth="1"/>
    <col min="6151" max="6151" width="18.1796875" style="207" customWidth="1"/>
    <col min="6152" max="6152" width="16.54296875" style="207" customWidth="1"/>
    <col min="6153" max="6155" width="15.81640625" style="207" customWidth="1"/>
    <col min="6156" max="6156" width="14.1796875" style="207" customWidth="1"/>
    <col min="6157" max="6157" width="13.81640625" style="207" customWidth="1"/>
    <col min="6158" max="6158" width="15.1796875" style="207" customWidth="1"/>
    <col min="6159" max="6398" width="9.1796875" style="207" customWidth="1"/>
    <col min="6399" max="6399" width="36.453125" style="207"/>
    <col min="6400" max="6400" width="36.453125" style="207" bestFit="1" customWidth="1"/>
    <col min="6401" max="6401" width="18.1796875" style="207" customWidth="1"/>
    <col min="6402" max="6402" width="21.1796875" style="207" customWidth="1"/>
    <col min="6403" max="6403" width="19.1796875" style="207" customWidth="1"/>
    <col min="6404" max="6404" width="20.54296875" style="207" customWidth="1"/>
    <col min="6405" max="6405" width="17.81640625" style="207" customWidth="1"/>
    <col min="6406" max="6406" width="15.1796875" style="207" customWidth="1"/>
    <col min="6407" max="6407" width="18.1796875" style="207" customWidth="1"/>
    <col min="6408" max="6408" width="16.54296875" style="207" customWidth="1"/>
    <col min="6409" max="6411" width="15.81640625" style="207" customWidth="1"/>
    <col min="6412" max="6412" width="14.1796875" style="207" customWidth="1"/>
    <col min="6413" max="6413" width="13.81640625" style="207" customWidth="1"/>
    <col min="6414" max="6414" width="15.1796875" style="207" customWidth="1"/>
    <col min="6415" max="6654" width="9.1796875" style="207" customWidth="1"/>
    <col min="6655" max="6655" width="36.453125" style="207"/>
    <col min="6656" max="6656" width="36.453125" style="207" bestFit="1" customWidth="1"/>
    <col min="6657" max="6657" width="18.1796875" style="207" customWidth="1"/>
    <col min="6658" max="6658" width="21.1796875" style="207" customWidth="1"/>
    <col min="6659" max="6659" width="19.1796875" style="207" customWidth="1"/>
    <col min="6660" max="6660" width="20.54296875" style="207" customWidth="1"/>
    <col min="6661" max="6661" width="17.81640625" style="207" customWidth="1"/>
    <col min="6662" max="6662" width="15.1796875" style="207" customWidth="1"/>
    <col min="6663" max="6663" width="18.1796875" style="207" customWidth="1"/>
    <col min="6664" max="6664" width="16.54296875" style="207" customWidth="1"/>
    <col min="6665" max="6667" width="15.81640625" style="207" customWidth="1"/>
    <col min="6668" max="6668" width="14.1796875" style="207" customWidth="1"/>
    <col min="6669" max="6669" width="13.81640625" style="207" customWidth="1"/>
    <col min="6670" max="6670" width="15.1796875" style="207" customWidth="1"/>
    <col min="6671" max="6910" width="9.1796875" style="207" customWidth="1"/>
    <col min="6911" max="6911" width="36.453125" style="207"/>
    <col min="6912" max="6912" width="36.453125" style="207" bestFit="1" customWidth="1"/>
    <col min="6913" max="6913" width="18.1796875" style="207" customWidth="1"/>
    <col min="6914" max="6914" width="21.1796875" style="207" customWidth="1"/>
    <col min="6915" max="6915" width="19.1796875" style="207" customWidth="1"/>
    <col min="6916" max="6916" width="20.54296875" style="207" customWidth="1"/>
    <col min="6917" max="6917" width="17.81640625" style="207" customWidth="1"/>
    <col min="6918" max="6918" width="15.1796875" style="207" customWidth="1"/>
    <col min="6919" max="6919" width="18.1796875" style="207" customWidth="1"/>
    <col min="6920" max="6920" width="16.54296875" style="207" customWidth="1"/>
    <col min="6921" max="6923" width="15.81640625" style="207" customWidth="1"/>
    <col min="6924" max="6924" width="14.1796875" style="207" customWidth="1"/>
    <col min="6925" max="6925" width="13.81640625" style="207" customWidth="1"/>
    <col min="6926" max="6926" width="15.1796875" style="207" customWidth="1"/>
    <col min="6927" max="7166" width="9.1796875" style="207" customWidth="1"/>
    <col min="7167" max="7167" width="36.453125" style="207"/>
    <col min="7168" max="7168" width="36.453125" style="207" bestFit="1" customWidth="1"/>
    <col min="7169" max="7169" width="18.1796875" style="207" customWidth="1"/>
    <col min="7170" max="7170" width="21.1796875" style="207" customWidth="1"/>
    <col min="7171" max="7171" width="19.1796875" style="207" customWidth="1"/>
    <col min="7172" max="7172" width="20.54296875" style="207" customWidth="1"/>
    <col min="7173" max="7173" width="17.81640625" style="207" customWidth="1"/>
    <col min="7174" max="7174" width="15.1796875" style="207" customWidth="1"/>
    <col min="7175" max="7175" width="18.1796875" style="207" customWidth="1"/>
    <col min="7176" max="7176" width="16.54296875" style="207" customWidth="1"/>
    <col min="7177" max="7179" width="15.81640625" style="207" customWidth="1"/>
    <col min="7180" max="7180" width="14.1796875" style="207" customWidth="1"/>
    <col min="7181" max="7181" width="13.81640625" style="207" customWidth="1"/>
    <col min="7182" max="7182" width="15.1796875" style="207" customWidth="1"/>
    <col min="7183" max="7422" width="9.1796875" style="207" customWidth="1"/>
    <col min="7423" max="7423" width="36.453125" style="207"/>
    <col min="7424" max="7424" width="36.453125" style="207" bestFit="1" customWidth="1"/>
    <col min="7425" max="7425" width="18.1796875" style="207" customWidth="1"/>
    <col min="7426" max="7426" width="21.1796875" style="207" customWidth="1"/>
    <col min="7427" max="7427" width="19.1796875" style="207" customWidth="1"/>
    <col min="7428" max="7428" width="20.54296875" style="207" customWidth="1"/>
    <col min="7429" max="7429" width="17.81640625" style="207" customWidth="1"/>
    <col min="7430" max="7430" width="15.1796875" style="207" customWidth="1"/>
    <col min="7431" max="7431" width="18.1796875" style="207" customWidth="1"/>
    <col min="7432" max="7432" width="16.54296875" style="207" customWidth="1"/>
    <col min="7433" max="7435" width="15.81640625" style="207" customWidth="1"/>
    <col min="7436" max="7436" width="14.1796875" style="207" customWidth="1"/>
    <col min="7437" max="7437" width="13.81640625" style="207" customWidth="1"/>
    <col min="7438" max="7438" width="15.1796875" style="207" customWidth="1"/>
    <col min="7439" max="7678" width="9.1796875" style="207" customWidth="1"/>
    <col min="7679" max="7679" width="36.453125" style="207"/>
    <col min="7680" max="7680" width="36.453125" style="207" bestFit="1" customWidth="1"/>
    <col min="7681" max="7681" width="18.1796875" style="207" customWidth="1"/>
    <col min="7682" max="7682" width="21.1796875" style="207" customWidth="1"/>
    <col min="7683" max="7683" width="19.1796875" style="207" customWidth="1"/>
    <col min="7684" max="7684" width="20.54296875" style="207" customWidth="1"/>
    <col min="7685" max="7685" width="17.81640625" style="207" customWidth="1"/>
    <col min="7686" max="7686" width="15.1796875" style="207" customWidth="1"/>
    <col min="7687" max="7687" width="18.1796875" style="207" customWidth="1"/>
    <col min="7688" max="7688" width="16.54296875" style="207" customWidth="1"/>
    <col min="7689" max="7691" width="15.81640625" style="207" customWidth="1"/>
    <col min="7692" max="7692" width="14.1796875" style="207" customWidth="1"/>
    <col min="7693" max="7693" width="13.81640625" style="207" customWidth="1"/>
    <col min="7694" max="7694" width="15.1796875" style="207" customWidth="1"/>
    <col min="7695" max="7934" width="9.1796875" style="207" customWidth="1"/>
    <col min="7935" max="7935" width="36.453125" style="207"/>
    <col min="7936" max="7936" width="36.453125" style="207" bestFit="1" customWidth="1"/>
    <col min="7937" max="7937" width="18.1796875" style="207" customWidth="1"/>
    <col min="7938" max="7938" width="21.1796875" style="207" customWidth="1"/>
    <col min="7939" max="7939" width="19.1796875" style="207" customWidth="1"/>
    <col min="7940" max="7940" width="20.54296875" style="207" customWidth="1"/>
    <col min="7941" max="7941" width="17.81640625" style="207" customWidth="1"/>
    <col min="7942" max="7942" width="15.1796875" style="207" customWidth="1"/>
    <col min="7943" max="7943" width="18.1796875" style="207" customWidth="1"/>
    <col min="7944" max="7944" width="16.54296875" style="207" customWidth="1"/>
    <col min="7945" max="7947" width="15.81640625" style="207" customWidth="1"/>
    <col min="7948" max="7948" width="14.1796875" style="207" customWidth="1"/>
    <col min="7949" max="7949" width="13.81640625" style="207" customWidth="1"/>
    <col min="7950" max="7950" width="15.1796875" style="207" customWidth="1"/>
    <col min="7951" max="8190" width="9.1796875" style="207" customWidth="1"/>
    <col min="8191" max="8191" width="36.453125" style="207"/>
    <col min="8192" max="8192" width="36.453125" style="207" bestFit="1" customWidth="1"/>
    <col min="8193" max="8193" width="18.1796875" style="207" customWidth="1"/>
    <col min="8194" max="8194" width="21.1796875" style="207" customWidth="1"/>
    <col min="8195" max="8195" width="19.1796875" style="207" customWidth="1"/>
    <col min="8196" max="8196" width="20.54296875" style="207" customWidth="1"/>
    <col min="8197" max="8197" width="17.81640625" style="207" customWidth="1"/>
    <col min="8198" max="8198" width="15.1796875" style="207" customWidth="1"/>
    <col min="8199" max="8199" width="18.1796875" style="207" customWidth="1"/>
    <col min="8200" max="8200" width="16.54296875" style="207" customWidth="1"/>
    <col min="8201" max="8203" width="15.81640625" style="207" customWidth="1"/>
    <col min="8204" max="8204" width="14.1796875" style="207" customWidth="1"/>
    <col min="8205" max="8205" width="13.81640625" style="207" customWidth="1"/>
    <col min="8206" max="8206" width="15.1796875" style="207" customWidth="1"/>
    <col min="8207" max="8446" width="9.1796875" style="207" customWidth="1"/>
    <col min="8447" max="8447" width="36.453125" style="207"/>
    <col min="8448" max="8448" width="36.453125" style="207" bestFit="1" customWidth="1"/>
    <col min="8449" max="8449" width="18.1796875" style="207" customWidth="1"/>
    <col min="8450" max="8450" width="21.1796875" style="207" customWidth="1"/>
    <col min="8451" max="8451" width="19.1796875" style="207" customWidth="1"/>
    <col min="8452" max="8452" width="20.54296875" style="207" customWidth="1"/>
    <col min="8453" max="8453" width="17.81640625" style="207" customWidth="1"/>
    <col min="8454" max="8454" width="15.1796875" style="207" customWidth="1"/>
    <col min="8455" max="8455" width="18.1796875" style="207" customWidth="1"/>
    <col min="8456" max="8456" width="16.54296875" style="207" customWidth="1"/>
    <col min="8457" max="8459" width="15.81640625" style="207" customWidth="1"/>
    <col min="8460" max="8460" width="14.1796875" style="207" customWidth="1"/>
    <col min="8461" max="8461" width="13.81640625" style="207" customWidth="1"/>
    <col min="8462" max="8462" width="15.1796875" style="207" customWidth="1"/>
    <col min="8463" max="8702" width="9.1796875" style="207" customWidth="1"/>
    <col min="8703" max="8703" width="36.453125" style="207"/>
    <col min="8704" max="8704" width="36.453125" style="207" bestFit="1" customWidth="1"/>
    <col min="8705" max="8705" width="18.1796875" style="207" customWidth="1"/>
    <col min="8706" max="8706" width="21.1796875" style="207" customWidth="1"/>
    <col min="8707" max="8707" width="19.1796875" style="207" customWidth="1"/>
    <col min="8708" max="8708" width="20.54296875" style="207" customWidth="1"/>
    <col min="8709" max="8709" width="17.81640625" style="207" customWidth="1"/>
    <col min="8710" max="8710" width="15.1796875" style="207" customWidth="1"/>
    <col min="8711" max="8711" width="18.1796875" style="207" customWidth="1"/>
    <col min="8712" max="8712" width="16.54296875" style="207" customWidth="1"/>
    <col min="8713" max="8715" width="15.81640625" style="207" customWidth="1"/>
    <col min="8716" max="8716" width="14.1796875" style="207" customWidth="1"/>
    <col min="8717" max="8717" width="13.81640625" style="207" customWidth="1"/>
    <col min="8718" max="8718" width="15.1796875" style="207" customWidth="1"/>
    <col min="8719" max="8958" width="9.1796875" style="207" customWidth="1"/>
    <col min="8959" max="8959" width="36.453125" style="207"/>
    <col min="8960" max="8960" width="36.453125" style="207" bestFit="1" customWidth="1"/>
    <col min="8961" max="8961" width="18.1796875" style="207" customWidth="1"/>
    <col min="8962" max="8962" width="21.1796875" style="207" customWidth="1"/>
    <col min="8963" max="8963" width="19.1796875" style="207" customWidth="1"/>
    <col min="8964" max="8964" width="20.54296875" style="207" customWidth="1"/>
    <col min="8965" max="8965" width="17.81640625" style="207" customWidth="1"/>
    <col min="8966" max="8966" width="15.1796875" style="207" customWidth="1"/>
    <col min="8967" max="8967" width="18.1796875" style="207" customWidth="1"/>
    <col min="8968" max="8968" width="16.54296875" style="207" customWidth="1"/>
    <col min="8969" max="8971" width="15.81640625" style="207" customWidth="1"/>
    <col min="8972" max="8972" width="14.1796875" style="207" customWidth="1"/>
    <col min="8973" max="8973" width="13.81640625" style="207" customWidth="1"/>
    <col min="8974" max="8974" width="15.1796875" style="207" customWidth="1"/>
    <col min="8975" max="9214" width="9.1796875" style="207" customWidth="1"/>
    <col min="9215" max="9215" width="36.453125" style="207"/>
    <col min="9216" max="9216" width="36.453125" style="207" bestFit="1" customWidth="1"/>
    <col min="9217" max="9217" width="18.1796875" style="207" customWidth="1"/>
    <col min="9218" max="9218" width="21.1796875" style="207" customWidth="1"/>
    <col min="9219" max="9219" width="19.1796875" style="207" customWidth="1"/>
    <col min="9220" max="9220" width="20.54296875" style="207" customWidth="1"/>
    <col min="9221" max="9221" width="17.81640625" style="207" customWidth="1"/>
    <col min="9222" max="9222" width="15.1796875" style="207" customWidth="1"/>
    <col min="9223" max="9223" width="18.1796875" style="207" customWidth="1"/>
    <col min="9224" max="9224" width="16.54296875" style="207" customWidth="1"/>
    <col min="9225" max="9227" width="15.81640625" style="207" customWidth="1"/>
    <col min="9228" max="9228" width="14.1796875" style="207" customWidth="1"/>
    <col min="9229" max="9229" width="13.81640625" style="207" customWidth="1"/>
    <col min="9230" max="9230" width="15.1796875" style="207" customWidth="1"/>
    <col min="9231" max="9470" width="9.1796875" style="207" customWidth="1"/>
    <col min="9471" max="9471" width="36.453125" style="207"/>
    <col min="9472" max="9472" width="36.453125" style="207" bestFit="1" customWidth="1"/>
    <col min="9473" max="9473" width="18.1796875" style="207" customWidth="1"/>
    <col min="9474" max="9474" width="21.1796875" style="207" customWidth="1"/>
    <col min="9475" max="9475" width="19.1796875" style="207" customWidth="1"/>
    <col min="9476" max="9476" width="20.54296875" style="207" customWidth="1"/>
    <col min="9477" max="9477" width="17.81640625" style="207" customWidth="1"/>
    <col min="9478" max="9478" width="15.1796875" style="207" customWidth="1"/>
    <col min="9479" max="9479" width="18.1796875" style="207" customWidth="1"/>
    <col min="9480" max="9480" width="16.54296875" style="207" customWidth="1"/>
    <col min="9481" max="9483" width="15.81640625" style="207" customWidth="1"/>
    <col min="9484" max="9484" width="14.1796875" style="207" customWidth="1"/>
    <col min="9485" max="9485" width="13.81640625" style="207" customWidth="1"/>
    <col min="9486" max="9486" width="15.1796875" style="207" customWidth="1"/>
    <col min="9487" max="9726" width="9.1796875" style="207" customWidth="1"/>
    <col min="9727" max="9727" width="36.453125" style="207"/>
    <col min="9728" max="9728" width="36.453125" style="207" bestFit="1" customWidth="1"/>
    <col min="9729" max="9729" width="18.1796875" style="207" customWidth="1"/>
    <col min="9730" max="9730" width="21.1796875" style="207" customWidth="1"/>
    <col min="9731" max="9731" width="19.1796875" style="207" customWidth="1"/>
    <col min="9732" max="9732" width="20.54296875" style="207" customWidth="1"/>
    <col min="9733" max="9733" width="17.81640625" style="207" customWidth="1"/>
    <col min="9734" max="9734" width="15.1796875" style="207" customWidth="1"/>
    <col min="9735" max="9735" width="18.1796875" style="207" customWidth="1"/>
    <col min="9736" max="9736" width="16.54296875" style="207" customWidth="1"/>
    <col min="9737" max="9739" width="15.81640625" style="207" customWidth="1"/>
    <col min="9740" max="9740" width="14.1796875" style="207" customWidth="1"/>
    <col min="9741" max="9741" width="13.81640625" style="207" customWidth="1"/>
    <col min="9742" max="9742" width="15.1796875" style="207" customWidth="1"/>
    <col min="9743" max="9982" width="9.1796875" style="207" customWidth="1"/>
    <col min="9983" max="9983" width="36.453125" style="207"/>
    <col min="9984" max="9984" width="36.453125" style="207" bestFit="1" customWidth="1"/>
    <col min="9985" max="9985" width="18.1796875" style="207" customWidth="1"/>
    <col min="9986" max="9986" width="21.1796875" style="207" customWidth="1"/>
    <col min="9987" max="9987" width="19.1796875" style="207" customWidth="1"/>
    <col min="9988" max="9988" width="20.54296875" style="207" customWidth="1"/>
    <col min="9989" max="9989" width="17.81640625" style="207" customWidth="1"/>
    <col min="9990" max="9990" width="15.1796875" style="207" customWidth="1"/>
    <col min="9991" max="9991" width="18.1796875" style="207" customWidth="1"/>
    <col min="9992" max="9992" width="16.54296875" style="207" customWidth="1"/>
    <col min="9993" max="9995" width="15.81640625" style="207" customWidth="1"/>
    <col min="9996" max="9996" width="14.1796875" style="207" customWidth="1"/>
    <col min="9997" max="9997" width="13.81640625" style="207" customWidth="1"/>
    <col min="9998" max="9998" width="15.1796875" style="207" customWidth="1"/>
    <col min="9999" max="10238" width="9.1796875" style="207" customWidth="1"/>
    <col min="10239" max="10239" width="36.453125" style="207"/>
    <col min="10240" max="10240" width="36.453125" style="207" bestFit="1" customWidth="1"/>
    <col min="10241" max="10241" width="18.1796875" style="207" customWidth="1"/>
    <col min="10242" max="10242" width="21.1796875" style="207" customWidth="1"/>
    <col min="10243" max="10243" width="19.1796875" style="207" customWidth="1"/>
    <col min="10244" max="10244" width="20.54296875" style="207" customWidth="1"/>
    <col min="10245" max="10245" width="17.81640625" style="207" customWidth="1"/>
    <col min="10246" max="10246" width="15.1796875" style="207" customWidth="1"/>
    <col min="10247" max="10247" width="18.1796875" style="207" customWidth="1"/>
    <col min="10248" max="10248" width="16.54296875" style="207" customWidth="1"/>
    <col min="10249" max="10251" width="15.81640625" style="207" customWidth="1"/>
    <col min="10252" max="10252" width="14.1796875" style="207" customWidth="1"/>
    <col min="10253" max="10253" width="13.81640625" style="207" customWidth="1"/>
    <col min="10254" max="10254" width="15.1796875" style="207" customWidth="1"/>
    <col min="10255" max="10494" width="9.1796875" style="207" customWidth="1"/>
    <col min="10495" max="10495" width="36.453125" style="207"/>
    <col min="10496" max="10496" width="36.453125" style="207" bestFit="1" customWidth="1"/>
    <col min="10497" max="10497" width="18.1796875" style="207" customWidth="1"/>
    <col min="10498" max="10498" width="21.1796875" style="207" customWidth="1"/>
    <col min="10499" max="10499" width="19.1796875" style="207" customWidth="1"/>
    <col min="10500" max="10500" width="20.54296875" style="207" customWidth="1"/>
    <col min="10501" max="10501" width="17.81640625" style="207" customWidth="1"/>
    <col min="10502" max="10502" width="15.1796875" style="207" customWidth="1"/>
    <col min="10503" max="10503" width="18.1796875" style="207" customWidth="1"/>
    <col min="10504" max="10504" width="16.54296875" style="207" customWidth="1"/>
    <col min="10505" max="10507" width="15.81640625" style="207" customWidth="1"/>
    <col min="10508" max="10508" width="14.1796875" style="207" customWidth="1"/>
    <col min="10509" max="10509" width="13.81640625" style="207" customWidth="1"/>
    <col min="10510" max="10510" width="15.1796875" style="207" customWidth="1"/>
    <col min="10511" max="10750" width="9.1796875" style="207" customWidth="1"/>
    <col min="10751" max="10751" width="36.453125" style="207"/>
    <col min="10752" max="10752" width="36.453125" style="207" bestFit="1" customWidth="1"/>
    <col min="10753" max="10753" width="18.1796875" style="207" customWidth="1"/>
    <col min="10754" max="10754" width="21.1796875" style="207" customWidth="1"/>
    <col min="10755" max="10755" width="19.1796875" style="207" customWidth="1"/>
    <col min="10756" max="10756" width="20.54296875" style="207" customWidth="1"/>
    <col min="10757" max="10757" width="17.81640625" style="207" customWidth="1"/>
    <col min="10758" max="10758" width="15.1796875" style="207" customWidth="1"/>
    <col min="10759" max="10759" width="18.1796875" style="207" customWidth="1"/>
    <col min="10760" max="10760" width="16.54296875" style="207" customWidth="1"/>
    <col min="10761" max="10763" width="15.81640625" style="207" customWidth="1"/>
    <col min="10764" max="10764" width="14.1796875" style="207" customWidth="1"/>
    <col min="10765" max="10765" width="13.81640625" style="207" customWidth="1"/>
    <col min="10766" max="10766" width="15.1796875" style="207" customWidth="1"/>
    <col min="10767" max="11006" width="9.1796875" style="207" customWidth="1"/>
    <col min="11007" max="11007" width="36.453125" style="207"/>
    <col min="11008" max="11008" width="36.453125" style="207" bestFit="1" customWidth="1"/>
    <col min="11009" max="11009" width="18.1796875" style="207" customWidth="1"/>
    <col min="11010" max="11010" width="21.1796875" style="207" customWidth="1"/>
    <col min="11011" max="11011" width="19.1796875" style="207" customWidth="1"/>
    <col min="11012" max="11012" width="20.54296875" style="207" customWidth="1"/>
    <col min="11013" max="11013" width="17.81640625" style="207" customWidth="1"/>
    <col min="11014" max="11014" width="15.1796875" style="207" customWidth="1"/>
    <col min="11015" max="11015" width="18.1796875" style="207" customWidth="1"/>
    <col min="11016" max="11016" width="16.54296875" style="207" customWidth="1"/>
    <col min="11017" max="11019" width="15.81640625" style="207" customWidth="1"/>
    <col min="11020" max="11020" width="14.1796875" style="207" customWidth="1"/>
    <col min="11021" max="11021" width="13.81640625" style="207" customWidth="1"/>
    <col min="11022" max="11022" width="15.1796875" style="207" customWidth="1"/>
    <col min="11023" max="11262" width="9.1796875" style="207" customWidth="1"/>
    <col min="11263" max="11263" width="36.453125" style="207"/>
    <col min="11264" max="11264" width="36.453125" style="207" bestFit="1" customWidth="1"/>
    <col min="11265" max="11265" width="18.1796875" style="207" customWidth="1"/>
    <col min="11266" max="11266" width="21.1796875" style="207" customWidth="1"/>
    <col min="11267" max="11267" width="19.1796875" style="207" customWidth="1"/>
    <col min="11268" max="11268" width="20.54296875" style="207" customWidth="1"/>
    <col min="11269" max="11269" width="17.81640625" style="207" customWidth="1"/>
    <col min="11270" max="11270" width="15.1796875" style="207" customWidth="1"/>
    <col min="11271" max="11271" width="18.1796875" style="207" customWidth="1"/>
    <col min="11272" max="11272" width="16.54296875" style="207" customWidth="1"/>
    <col min="11273" max="11275" width="15.81640625" style="207" customWidth="1"/>
    <col min="11276" max="11276" width="14.1796875" style="207" customWidth="1"/>
    <col min="11277" max="11277" width="13.81640625" style="207" customWidth="1"/>
    <col min="11278" max="11278" width="15.1796875" style="207" customWidth="1"/>
    <col min="11279" max="11518" width="9.1796875" style="207" customWidth="1"/>
    <col min="11519" max="11519" width="36.453125" style="207"/>
    <col min="11520" max="11520" width="36.453125" style="207" bestFit="1" customWidth="1"/>
    <col min="11521" max="11521" width="18.1796875" style="207" customWidth="1"/>
    <col min="11522" max="11522" width="21.1796875" style="207" customWidth="1"/>
    <col min="11523" max="11523" width="19.1796875" style="207" customWidth="1"/>
    <col min="11524" max="11524" width="20.54296875" style="207" customWidth="1"/>
    <col min="11525" max="11525" width="17.81640625" style="207" customWidth="1"/>
    <col min="11526" max="11526" width="15.1796875" style="207" customWidth="1"/>
    <col min="11527" max="11527" width="18.1796875" style="207" customWidth="1"/>
    <col min="11528" max="11528" width="16.54296875" style="207" customWidth="1"/>
    <col min="11529" max="11531" width="15.81640625" style="207" customWidth="1"/>
    <col min="11532" max="11532" width="14.1796875" style="207" customWidth="1"/>
    <col min="11533" max="11533" width="13.81640625" style="207" customWidth="1"/>
    <col min="11534" max="11534" width="15.1796875" style="207" customWidth="1"/>
    <col min="11535" max="11774" width="9.1796875" style="207" customWidth="1"/>
    <col min="11775" max="11775" width="36.453125" style="207"/>
    <col min="11776" max="11776" width="36.453125" style="207" bestFit="1" customWidth="1"/>
    <col min="11777" max="11777" width="18.1796875" style="207" customWidth="1"/>
    <col min="11778" max="11778" width="21.1796875" style="207" customWidth="1"/>
    <col min="11779" max="11779" width="19.1796875" style="207" customWidth="1"/>
    <col min="11780" max="11780" width="20.54296875" style="207" customWidth="1"/>
    <col min="11781" max="11781" width="17.81640625" style="207" customWidth="1"/>
    <col min="11782" max="11782" width="15.1796875" style="207" customWidth="1"/>
    <col min="11783" max="11783" width="18.1796875" style="207" customWidth="1"/>
    <col min="11784" max="11784" width="16.54296875" style="207" customWidth="1"/>
    <col min="11785" max="11787" width="15.81640625" style="207" customWidth="1"/>
    <col min="11788" max="11788" width="14.1796875" style="207" customWidth="1"/>
    <col min="11789" max="11789" width="13.81640625" style="207" customWidth="1"/>
    <col min="11790" max="11790" width="15.1796875" style="207" customWidth="1"/>
    <col min="11791" max="12030" width="9.1796875" style="207" customWidth="1"/>
    <col min="12031" max="12031" width="36.453125" style="207"/>
    <col min="12032" max="12032" width="36.453125" style="207" bestFit="1" customWidth="1"/>
    <col min="12033" max="12033" width="18.1796875" style="207" customWidth="1"/>
    <col min="12034" max="12034" width="21.1796875" style="207" customWidth="1"/>
    <col min="12035" max="12035" width="19.1796875" style="207" customWidth="1"/>
    <col min="12036" max="12036" width="20.54296875" style="207" customWidth="1"/>
    <col min="12037" max="12037" width="17.81640625" style="207" customWidth="1"/>
    <col min="12038" max="12038" width="15.1796875" style="207" customWidth="1"/>
    <col min="12039" max="12039" width="18.1796875" style="207" customWidth="1"/>
    <col min="12040" max="12040" width="16.54296875" style="207" customWidth="1"/>
    <col min="12041" max="12043" width="15.81640625" style="207" customWidth="1"/>
    <col min="12044" max="12044" width="14.1796875" style="207" customWidth="1"/>
    <col min="12045" max="12045" width="13.81640625" style="207" customWidth="1"/>
    <col min="12046" max="12046" width="15.1796875" style="207" customWidth="1"/>
    <col min="12047" max="12286" width="9.1796875" style="207" customWidth="1"/>
    <col min="12287" max="12287" width="36.453125" style="207"/>
    <col min="12288" max="12288" width="36.453125" style="207" bestFit="1" customWidth="1"/>
    <col min="12289" max="12289" width="18.1796875" style="207" customWidth="1"/>
    <col min="12290" max="12290" width="21.1796875" style="207" customWidth="1"/>
    <col min="12291" max="12291" width="19.1796875" style="207" customWidth="1"/>
    <col min="12292" max="12292" width="20.54296875" style="207" customWidth="1"/>
    <col min="12293" max="12293" width="17.81640625" style="207" customWidth="1"/>
    <col min="12294" max="12294" width="15.1796875" style="207" customWidth="1"/>
    <col min="12295" max="12295" width="18.1796875" style="207" customWidth="1"/>
    <col min="12296" max="12296" width="16.54296875" style="207" customWidth="1"/>
    <col min="12297" max="12299" width="15.81640625" style="207" customWidth="1"/>
    <col min="12300" max="12300" width="14.1796875" style="207" customWidth="1"/>
    <col min="12301" max="12301" width="13.81640625" style="207" customWidth="1"/>
    <col min="12302" max="12302" width="15.1796875" style="207" customWidth="1"/>
    <col min="12303" max="12542" width="9.1796875" style="207" customWidth="1"/>
    <col min="12543" max="12543" width="36.453125" style="207"/>
    <col min="12544" max="12544" width="36.453125" style="207" bestFit="1" customWidth="1"/>
    <col min="12545" max="12545" width="18.1796875" style="207" customWidth="1"/>
    <col min="12546" max="12546" width="21.1796875" style="207" customWidth="1"/>
    <col min="12547" max="12547" width="19.1796875" style="207" customWidth="1"/>
    <col min="12548" max="12548" width="20.54296875" style="207" customWidth="1"/>
    <col min="12549" max="12549" width="17.81640625" style="207" customWidth="1"/>
    <col min="12550" max="12550" width="15.1796875" style="207" customWidth="1"/>
    <col min="12551" max="12551" width="18.1796875" style="207" customWidth="1"/>
    <col min="12552" max="12552" width="16.54296875" style="207" customWidth="1"/>
    <col min="12553" max="12555" width="15.81640625" style="207" customWidth="1"/>
    <col min="12556" max="12556" width="14.1796875" style="207" customWidth="1"/>
    <col min="12557" max="12557" width="13.81640625" style="207" customWidth="1"/>
    <col min="12558" max="12558" width="15.1796875" style="207" customWidth="1"/>
    <col min="12559" max="12798" width="9.1796875" style="207" customWidth="1"/>
    <col min="12799" max="12799" width="36.453125" style="207"/>
    <col min="12800" max="12800" width="36.453125" style="207" bestFit="1" customWidth="1"/>
    <col min="12801" max="12801" width="18.1796875" style="207" customWidth="1"/>
    <col min="12802" max="12802" width="21.1796875" style="207" customWidth="1"/>
    <col min="12803" max="12803" width="19.1796875" style="207" customWidth="1"/>
    <col min="12804" max="12804" width="20.54296875" style="207" customWidth="1"/>
    <col min="12805" max="12805" width="17.81640625" style="207" customWidth="1"/>
    <col min="12806" max="12806" width="15.1796875" style="207" customWidth="1"/>
    <col min="12807" max="12807" width="18.1796875" style="207" customWidth="1"/>
    <col min="12808" max="12808" width="16.54296875" style="207" customWidth="1"/>
    <col min="12809" max="12811" width="15.81640625" style="207" customWidth="1"/>
    <col min="12812" max="12812" width="14.1796875" style="207" customWidth="1"/>
    <col min="12813" max="12813" width="13.81640625" style="207" customWidth="1"/>
    <col min="12814" max="12814" width="15.1796875" style="207" customWidth="1"/>
    <col min="12815" max="13054" width="9.1796875" style="207" customWidth="1"/>
    <col min="13055" max="13055" width="36.453125" style="207"/>
    <col min="13056" max="13056" width="36.453125" style="207" bestFit="1" customWidth="1"/>
    <col min="13057" max="13057" width="18.1796875" style="207" customWidth="1"/>
    <col min="13058" max="13058" width="21.1796875" style="207" customWidth="1"/>
    <col min="13059" max="13059" width="19.1796875" style="207" customWidth="1"/>
    <col min="13060" max="13060" width="20.54296875" style="207" customWidth="1"/>
    <col min="13061" max="13061" width="17.81640625" style="207" customWidth="1"/>
    <col min="13062" max="13062" width="15.1796875" style="207" customWidth="1"/>
    <col min="13063" max="13063" width="18.1796875" style="207" customWidth="1"/>
    <col min="13064" max="13064" width="16.54296875" style="207" customWidth="1"/>
    <col min="13065" max="13067" width="15.81640625" style="207" customWidth="1"/>
    <col min="13068" max="13068" width="14.1796875" style="207" customWidth="1"/>
    <col min="13069" max="13069" width="13.81640625" style="207" customWidth="1"/>
    <col min="13070" max="13070" width="15.1796875" style="207" customWidth="1"/>
    <col min="13071" max="13310" width="9.1796875" style="207" customWidth="1"/>
    <col min="13311" max="13311" width="36.453125" style="207"/>
    <col min="13312" max="13312" width="36.453125" style="207" bestFit="1" customWidth="1"/>
    <col min="13313" max="13313" width="18.1796875" style="207" customWidth="1"/>
    <col min="13314" max="13314" width="21.1796875" style="207" customWidth="1"/>
    <col min="13315" max="13315" width="19.1796875" style="207" customWidth="1"/>
    <col min="13316" max="13316" width="20.54296875" style="207" customWidth="1"/>
    <col min="13317" max="13317" width="17.81640625" style="207" customWidth="1"/>
    <col min="13318" max="13318" width="15.1796875" style="207" customWidth="1"/>
    <col min="13319" max="13319" width="18.1796875" style="207" customWidth="1"/>
    <col min="13320" max="13320" width="16.54296875" style="207" customWidth="1"/>
    <col min="13321" max="13323" width="15.81640625" style="207" customWidth="1"/>
    <col min="13324" max="13324" width="14.1796875" style="207" customWidth="1"/>
    <col min="13325" max="13325" width="13.81640625" style="207" customWidth="1"/>
    <col min="13326" max="13326" width="15.1796875" style="207" customWidth="1"/>
    <col min="13327" max="13566" width="9.1796875" style="207" customWidth="1"/>
    <col min="13567" max="13567" width="36.453125" style="207"/>
    <col min="13568" max="13568" width="36.453125" style="207" bestFit="1" customWidth="1"/>
    <col min="13569" max="13569" width="18.1796875" style="207" customWidth="1"/>
    <col min="13570" max="13570" width="21.1796875" style="207" customWidth="1"/>
    <col min="13571" max="13571" width="19.1796875" style="207" customWidth="1"/>
    <col min="13572" max="13572" width="20.54296875" style="207" customWidth="1"/>
    <col min="13573" max="13573" width="17.81640625" style="207" customWidth="1"/>
    <col min="13574" max="13574" width="15.1796875" style="207" customWidth="1"/>
    <col min="13575" max="13575" width="18.1796875" style="207" customWidth="1"/>
    <col min="13576" max="13576" width="16.54296875" style="207" customWidth="1"/>
    <col min="13577" max="13579" width="15.81640625" style="207" customWidth="1"/>
    <col min="13580" max="13580" width="14.1796875" style="207" customWidth="1"/>
    <col min="13581" max="13581" width="13.81640625" style="207" customWidth="1"/>
    <col min="13582" max="13582" width="15.1796875" style="207" customWidth="1"/>
    <col min="13583" max="13822" width="9.1796875" style="207" customWidth="1"/>
    <col min="13823" max="13823" width="36.453125" style="207"/>
    <col min="13824" max="13824" width="36.453125" style="207" bestFit="1" customWidth="1"/>
    <col min="13825" max="13825" width="18.1796875" style="207" customWidth="1"/>
    <col min="13826" max="13826" width="21.1796875" style="207" customWidth="1"/>
    <col min="13827" max="13827" width="19.1796875" style="207" customWidth="1"/>
    <col min="13828" max="13828" width="20.54296875" style="207" customWidth="1"/>
    <col min="13829" max="13829" width="17.81640625" style="207" customWidth="1"/>
    <col min="13830" max="13830" width="15.1796875" style="207" customWidth="1"/>
    <col min="13831" max="13831" width="18.1796875" style="207" customWidth="1"/>
    <col min="13832" max="13832" width="16.54296875" style="207" customWidth="1"/>
    <col min="13833" max="13835" width="15.81640625" style="207" customWidth="1"/>
    <col min="13836" max="13836" width="14.1796875" style="207" customWidth="1"/>
    <col min="13837" max="13837" width="13.81640625" style="207" customWidth="1"/>
    <col min="13838" max="13838" width="15.1796875" style="207" customWidth="1"/>
    <col min="13839" max="14078" width="9.1796875" style="207" customWidth="1"/>
    <col min="14079" max="14079" width="36.453125" style="207"/>
    <col min="14080" max="14080" width="36.453125" style="207" bestFit="1" customWidth="1"/>
    <col min="14081" max="14081" width="18.1796875" style="207" customWidth="1"/>
    <col min="14082" max="14082" width="21.1796875" style="207" customWidth="1"/>
    <col min="14083" max="14083" width="19.1796875" style="207" customWidth="1"/>
    <col min="14084" max="14084" width="20.54296875" style="207" customWidth="1"/>
    <col min="14085" max="14085" width="17.81640625" style="207" customWidth="1"/>
    <col min="14086" max="14086" width="15.1796875" style="207" customWidth="1"/>
    <col min="14087" max="14087" width="18.1796875" style="207" customWidth="1"/>
    <col min="14088" max="14088" width="16.54296875" style="207" customWidth="1"/>
    <col min="14089" max="14091" width="15.81640625" style="207" customWidth="1"/>
    <col min="14092" max="14092" width="14.1796875" style="207" customWidth="1"/>
    <col min="14093" max="14093" width="13.81640625" style="207" customWidth="1"/>
    <col min="14094" max="14094" width="15.1796875" style="207" customWidth="1"/>
    <col min="14095" max="14334" width="9.1796875" style="207" customWidth="1"/>
    <col min="14335" max="14335" width="36.453125" style="207"/>
    <col min="14336" max="14336" width="36.453125" style="207" bestFit="1" customWidth="1"/>
    <col min="14337" max="14337" width="18.1796875" style="207" customWidth="1"/>
    <col min="14338" max="14338" width="21.1796875" style="207" customWidth="1"/>
    <col min="14339" max="14339" width="19.1796875" style="207" customWidth="1"/>
    <col min="14340" max="14340" width="20.54296875" style="207" customWidth="1"/>
    <col min="14341" max="14341" width="17.81640625" style="207" customWidth="1"/>
    <col min="14342" max="14342" width="15.1796875" style="207" customWidth="1"/>
    <col min="14343" max="14343" width="18.1796875" style="207" customWidth="1"/>
    <col min="14344" max="14344" width="16.54296875" style="207" customWidth="1"/>
    <col min="14345" max="14347" width="15.81640625" style="207" customWidth="1"/>
    <col min="14348" max="14348" width="14.1796875" style="207" customWidth="1"/>
    <col min="14349" max="14349" width="13.81640625" style="207" customWidth="1"/>
    <col min="14350" max="14350" width="15.1796875" style="207" customWidth="1"/>
    <col min="14351" max="14590" width="9.1796875" style="207" customWidth="1"/>
    <col min="14591" max="14591" width="36.453125" style="207"/>
    <col min="14592" max="14592" width="36.453125" style="207" bestFit="1" customWidth="1"/>
    <col min="14593" max="14593" width="18.1796875" style="207" customWidth="1"/>
    <col min="14594" max="14594" width="21.1796875" style="207" customWidth="1"/>
    <col min="14595" max="14595" width="19.1796875" style="207" customWidth="1"/>
    <col min="14596" max="14596" width="20.54296875" style="207" customWidth="1"/>
    <col min="14597" max="14597" width="17.81640625" style="207" customWidth="1"/>
    <col min="14598" max="14598" width="15.1796875" style="207" customWidth="1"/>
    <col min="14599" max="14599" width="18.1796875" style="207" customWidth="1"/>
    <col min="14600" max="14600" width="16.54296875" style="207" customWidth="1"/>
    <col min="14601" max="14603" width="15.81640625" style="207" customWidth="1"/>
    <col min="14604" max="14604" width="14.1796875" style="207" customWidth="1"/>
    <col min="14605" max="14605" width="13.81640625" style="207" customWidth="1"/>
    <col min="14606" max="14606" width="15.1796875" style="207" customWidth="1"/>
    <col min="14607" max="14846" width="9.1796875" style="207" customWidth="1"/>
    <col min="14847" max="14847" width="36.453125" style="207"/>
    <col min="14848" max="14848" width="36.453125" style="207" bestFit="1" customWidth="1"/>
    <col min="14849" max="14849" width="18.1796875" style="207" customWidth="1"/>
    <col min="14850" max="14850" width="21.1796875" style="207" customWidth="1"/>
    <col min="14851" max="14851" width="19.1796875" style="207" customWidth="1"/>
    <col min="14852" max="14852" width="20.54296875" style="207" customWidth="1"/>
    <col min="14853" max="14853" width="17.81640625" style="207" customWidth="1"/>
    <col min="14854" max="14854" width="15.1796875" style="207" customWidth="1"/>
    <col min="14855" max="14855" width="18.1796875" style="207" customWidth="1"/>
    <col min="14856" max="14856" width="16.54296875" style="207" customWidth="1"/>
    <col min="14857" max="14859" width="15.81640625" style="207" customWidth="1"/>
    <col min="14860" max="14860" width="14.1796875" style="207" customWidth="1"/>
    <col min="14861" max="14861" width="13.81640625" style="207" customWidth="1"/>
    <col min="14862" max="14862" width="15.1796875" style="207" customWidth="1"/>
    <col min="14863" max="15102" width="9.1796875" style="207" customWidth="1"/>
    <col min="15103" max="15103" width="36.453125" style="207"/>
    <col min="15104" max="15104" width="36.453125" style="207" bestFit="1" customWidth="1"/>
    <col min="15105" max="15105" width="18.1796875" style="207" customWidth="1"/>
    <col min="15106" max="15106" width="21.1796875" style="207" customWidth="1"/>
    <col min="15107" max="15107" width="19.1796875" style="207" customWidth="1"/>
    <col min="15108" max="15108" width="20.54296875" style="207" customWidth="1"/>
    <col min="15109" max="15109" width="17.81640625" style="207" customWidth="1"/>
    <col min="15110" max="15110" width="15.1796875" style="207" customWidth="1"/>
    <col min="15111" max="15111" width="18.1796875" style="207" customWidth="1"/>
    <col min="15112" max="15112" width="16.54296875" style="207" customWidth="1"/>
    <col min="15113" max="15115" width="15.81640625" style="207" customWidth="1"/>
    <col min="15116" max="15116" width="14.1796875" style="207" customWidth="1"/>
    <col min="15117" max="15117" width="13.81640625" style="207" customWidth="1"/>
    <col min="15118" max="15118" width="15.1796875" style="207" customWidth="1"/>
    <col min="15119" max="15358" width="9.1796875" style="207" customWidth="1"/>
    <col min="15359" max="15359" width="36.453125" style="207"/>
    <col min="15360" max="15360" width="36.453125" style="207" bestFit="1" customWidth="1"/>
    <col min="15361" max="15361" width="18.1796875" style="207" customWidth="1"/>
    <col min="15362" max="15362" width="21.1796875" style="207" customWidth="1"/>
    <col min="15363" max="15363" width="19.1796875" style="207" customWidth="1"/>
    <col min="15364" max="15364" width="20.54296875" style="207" customWidth="1"/>
    <col min="15365" max="15365" width="17.81640625" style="207" customWidth="1"/>
    <col min="15366" max="15366" width="15.1796875" style="207" customWidth="1"/>
    <col min="15367" max="15367" width="18.1796875" style="207" customWidth="1"/>
    <col min="15368" max="15368" width="16.54296875" style="207" customWidth="1"/>
    <col min="15369" max="15371" width="15.81640625" style="207" customWidth="1"/>
    <col min="15372" max="15372" width="14.1796875" style="207" customWidth="1"/>
    <col min="15373" max="15373" width="13.81640625" style="207" customWidth="1"/>
    <col min="15374" max="15374" width="15.1796875" style="207" customWidth="1"/>
    <col min="15375" max="15614" width="9.1796875" style="207" customWidth="1"/>
    <col min="15615" max="15615" width="36.453125" style="207"/>
    <col min="15616" max="15616" width="36.453125" style="207" bestFit="1" customWidth="1"/>
    <col min="15617" max="15617" width="18.1796875" style="207" customWidth="1"/>
    <col min="15618" max="15618" width="21.1796875" style="207" customWidth="1"/>
    <col min="15619" max="15619" width="19.1796875" style="207" customWidth="1"/>
    <col min="15620" max="15620" width="20.54296875" style="207" customWidth="1"/>
    <col min="15621" max="15621" width="17.81640625" style="207" customWidth="1"/>
    <col min="15622" max="15622" width="15.1796875" style="207" customWidth="1"/>
    <col min="15623" max="15623" width="18.1796875" style="207" customWidth="1"/>
    <col min="15624" max="15624" width="16.54296875" style="207" customWidth="1"/>
    <col min="15625" max="15627" width="15.81640625" style="207" customWidth="1"/>
    <col min="15628" max="15628" width="14.1796875" style="207" customWidth="1"/>
    <col min="15629" max="15629" width="13.81640625" style="207" customWidth="1"/>
    <col min="15630" max="15630" width="15.1796875" style="207" customWidth="1"/>
    <col min="15631" max="15870" width="9.1796875" style="207" customWidth="1"/>
    <col min="15871" max="15871" width="36.453125" style="207"/>
    <col min="15872" max="15872" width="36.453125" style="207" bestFit="1" customWidth="1"/>
    <col min="15873" max="15873" width="18.1796875" style="207" customWidth="1"/>
    <col min="15874" max="15874" width="21.1796875" style="207" customWidth="1"/>
    <col min="15875" max="15875" width="19.1796875" style="207" customWidth="1"/>
    <col min="15876" max="15876" width="20.54296875" style="207" customWidth="1"/>
    <col min="15877" max="15877" width="17.81640625" style="207" customWidth="1"/>
    <col min="15878" max="15878" width="15.1796875" style="207" customWidth="1"/>
    <col min="15879" max="15879" width="18.1796875" style="207" customWidth="1"/>
    <col min="15880" max="15880" width="16.54296875" style="207" customWidth="1"/>
    <col min="15881" max="15883" width="15.81640625" style="207" customWidth="1"/>
    <col min="15884" max="15884" width="14.1796875" style="207" customWidth="1"/>
    <col min="15885" max="15885" width="13.81640625" style="207" customWidth="1"/>
    <col min="15886" max="15886" width="15.1796875" style="207" customWidth="1"/>
    <col min="15887" max="16126" width="9.1796875" style="207" customWidth="1"/>
    <col min="16127" max="16127" width="36.453125" style="207"/>
    <col min="16128" max="16128" width="36.453125" style="207" bestFit="1" customWidth="1"/>
    <col min="16129" max="16129" width="18.1796875" style="207" customWidth="1"/>
    <col min="16130" max="16130" width="21.1796875" style="207" customWidth="1"/>
    <col min="16131" max="16131" width="19.1796875" style="207" customWidth="1"/>
    <col min="16132" max="16132" width="20.54296875" style="207" customWidth="1"/>
    <col min="16133" max="16133" width="17.81640625" style="207" customWidth="1"/>
    <col min="16134" max="16134" width="15.1796875" style="207" customWidth="1"/>
    <col min="16135" max="16135" width="18.1796875" style="207" customWidth="1"/>
    <col min="16136" max="16136" width="16.54296875" style="207" customWidth="1"/>
    <col min="16137" max="16139" width="15.81640625" style="207" customWidth="1"/>
    <col min="16140" max="16140" width="14.1796875" style="207" customWidth="1"/>
    <col min="16141" max="16141" width="13.81640625" style="207" customWidth="1"/>
    <col min="16142" max="16142" width="15.1796875" style="207" customWidth="1"/>
    <col min="16143" max="16384" width="9.1796875" style="207" customWidth="1"/>
  </cols>
  <sheetData>
    <row r="1" spans="1:13" x14ac:dyDescent="0.25">
      <c r="A1" s="365"/>
      <c r="B1" s="357"/>
      <c r="C1" s="357"/>
      <c r="D1" s="357"/>
      <c r="E1" s="357"/>
      <c r="F1" s="357"/>
      <c r="G1" s="357"/>
      <c r="H1" s="357"/>
      <c r="I1" s="357"/>
      <c r="J1" s="593"/>
      <c r="K1" s="357"/>
      <c r="L1" s="357" t="s">
        <v>717</v>
      </c>
      <c r="M1" s="357"/>
    </row>
    <row r="2" spans="1:13" ht="24" customHeight="1" x14ac:dyDescent="0.3">
      <c r="A2" s="359" t="s">
        <v>420</v>
      </c>
      <c r="B2" s="357"/>
      <c r="C2" s="357"/>
      <c r="D2" s="357"/>
      <c r="E2" s="357"/>
      <c r="F2" s="358"/>
      <c r="G2" s="357"/>
      <c r="H2" s="359" t="s">
        <v>476</v>
      </c>
      <c r="I2" s="359"/>
      <c r="J2" s="594"/>
      <c r="K2" s="357"/>
      <c r="L2" s="357"/>
      <c r="M2" s="357"/>
    </row>
    <row r="3" spans="1:13" ht="27.65" customHeight="1" x14ac:dyDescent="0.25">
      <c r="A3" s="366" t="s">
        <v>331</v>
      </c>
      <c r="B3" s="1193" t="s">
        <v>332</v>
      </c>
      <c r="C3" s="1193"/>
      <c r="D3" s="552" t="s">
        <v>333</v>
      </c>
      <c r="E3" s="363" t="s">
        <v>334</v>
      </c>
      <c r="F3" s="363">
        <v>2024</v>
      </c>
      <c r="G3" s="363">
        <v>2025</v>
      </c>
      <c r="H3" s="363">
        <v>2026</v>
      </c>
      <c r="I3" s="363">
        <v>2027</v>
      </c>
      <c r="J3" s="1194" t="s">
        <v>335</v>
      </c>
      <c r="K3" s="1195"/>
      <c r="L3" s="1196"/>
    </row>
    <row r="4" spans="1:13" s="385" customFormat="1" ht="32.25" customHeight="1" x14ac:dyDescent="0.3">
      <c r="A4" s="407" t="s">
        <v>509</v>
      </c>
      <c r="B4" s="1187" t="s">
        <v>337</v>
      </c>
      <c r="C4" s="1187"/>
      <c r="D4" s="408">
        <v>41366</v>
      </c>
      <c r="E4" s="409" t="s">
        <v>338</v>
      </c>
      <c r="F4" s="409">
        <v>314960</v>
      </c>
      <c r="G4" s="409" t="s">
        <v>336</v>
      </c>
      <c r="H4" s="409" t="s">
        <v>336</v>
      </c>
      <c r="I4" s="409" t="s">
        <v>336</v>
      </c>
      <c r="J4" s="1183" t="s">
        <v>769</v>
      </c>
      <c r="K4" s="1183"/>
      <c r="L4" s="1183"/>
      <c r="M4" s="384"/>
    </row>
    <row r="5" spans="1:13" s="385" customFormat="1" ht="69" customHeight="1" x14ac:dyDescent="0.3">
      <c r="A5" s="407" t="s">
        <v>0</v>
      </c>
      <c r="B5" s="1187" t="s">
        <v>337</v>
      </c>
      <c r="C5" s="1187"/>
      <c r="D5" s="408">
        <v>36901</v>
      </c>
      <c r="E5" s="410" t="s">
        <v>683</v>
      </c>
      <c r="F5" s="409">
        <v>17678400</v>
      </c>
      <c r="G5" s="409">
        <v>17678400</v>
      </c>
      <c r="H5" s="409">
        <v>17678400</v>
      </c>
      <c r="I5" s="409">
        <v>17678400</v>
      </c>
      <c r="J5" s="1184" t="s">
        <v>444</v>
      </c>
      <c r="K5" s="1184"/>
      <c r="L5" s="1184"/>
      <c r="M5" s="384"/>
    </row>
    <row r="6" spans="1:13" s="385" customFormat="1" ht="15" customHeight="1" x14ac:dyDescent="0.3">
      <c r="A6" s="407" t="s">
        <v>2</v>
      </c>
      <c r="B6" s="1187" t="s">
        <v>849</v>
      </c>
      <c r="C6" s="1187"/>
      <c r="D6" s="408">
        <v>42718</v>
      </c>
      <c r="E6" s="409" t="s">
        <v>492</v>
      </c>
      <c r="F6" s="409">
        <v>1447800</v>
      </c>
      <c r="G6" s="409">
        <v>1447800</v>
      </c>
      <c r="H6" s="409">
        <v>1447800</v>
      </c>
      <c r="I6" s="409">
        <v>1447800</v>
      </c>
      <c r="J6" s="1184" t="s">
        <v>443</v>
      </c>
      <c r="K6" s="1184"/>
      <c r="L6" s="1184"/>
      <c r="M6" s="384"/>
    </row>
    <row r="7" spans="1:13" s="385" customFormat="1" ht="15" customHeight="1" x14ac:dyDescent="0.3">
      <c r="A7" s="407" t="s">
        <v>664</v>
      </c>
      <c r="B7" s="1173" t="s">
        <v>339</v>
      </c>
      <c r="C7" s="1173"/>
      <c r="D7" s="408">
        <v>38478</v>
      </c>
      <c r="E7" s="409" t="s">
        <v>850</v>
      </c>
      <c r="F7" s="409">
        <v>132210</v>
      </c>
      <c r="G7" s="409">
        <v>132210</v>
      </c>
      <c r="H7" s="409">
        <v>132210</v>
      </c>
      <c r="I7" s="409">
        <v>132210</v>
      </c>
      <c r="J7" s="1184" t="s">
        <v>340</v>
      </c>
      <c r="K7" s="1184"/>
      <c r="L7" s="1184"/>
      <c r="M7" s="384"/>
    </row>
    <row r="8" spans="1:13" s="385" customFormat="1" ht="15" customHeight="1" x14ac:dyDescent="0.3">
      <c r="A8" s="407" t="s">
        <v>4</v>
      </c>
      <c r="B8" s="1173" t="s">
        <v>339</v>
      </c>
      <c r="C8" s="1173"/>
      <c r="D8" s="408">
        <v>39083</v>
      </c>
      <c r="E8" s="409" t="s">
        <v>770</v>
      </c>
      <c r="F8" s="409">
        <v>9555860</v>
      </c>
      <c r="G8" s="409">
        <v>9555860</v>
      </c>
      <c r="H8" s="409">
        <v>9555860</v>
      </c>
      <c r="I8" s="409">
        <v>9555860</v>
      </c>
      <c r="J8" s="1184" t="s">
        <v>341</v>
      </c>
      <c r="K8" s="1184"/>
      <c r="L8" s="1184"/>
      <c r="M8" s="384"/>
    </row>
    <row r="9" spans="1:13" s="385" customFormat="1" ht="15" customHeight="1" x14ac:dyDescent="0.3">
      <c r="A9" s="407" t="s">
        <v>6</v>
      </c>
      <c r="B9" s="1173" t="s">
        <v>339</v>
      </c>
      <c r="C9" s="1173"/>
      <c r="D9" s="408">
        <v>42036</v>
      </c>
      <c r="E9" s="409" t="s">
        <v>851</v>
      </c>
      <c r="F9" s="409">
        <v>89286</v>
      </c>
      <c r="G9" s="409">
        <v>89286</v>
      </c>
      <c r="H9" s="409">
        <v>89286</v>
      </c>
      <c r="I9" s="409">
        <v>89286</v>
      </c>
      <c r="J9" s="1184" t="s">
        <v>407</v>
      </c>
      <c r="K9" s="1184"/>
      <c r="L9" s="1184"/>
      <c r="M9" s="384"/>
    </row>
    <row r="10" spans="1:13" s="385" customFormat="1" ht="34.25" customHeight="1" x14ac:dyDescent="0.3">
      <c r="A10" s="407" t="s">
        <v>8</v>
      </c>
      <c r="B10" s="1187" t="s">
        <v>342</v>
      </c>
      <c r="C10" s="1187"/>
      <c r="D10" s="415" t="s">
        <v>892</v>
      </c>
      <c r="E10" s="409" t="s">
        <v>893</v>
      </c>
      <c r="F10" s="409">
        <v>1790700</v>
      </c>
      <c r="G10" s="409">
        <v>5334000</v>
      </c>
      <c r="H10" s="409">
        <v>5334000</v>
      </c>
      <c r="I10" s="409">
        <v>5334000</v>
      </c>
      <c r="J10" s="1173" t="s">
        <v>343</v>
      </c>
      <c r="K10" s="1173"/>
      <c r="L10" s="1173"/>
      <c r="M10" s="384"/>
    </row>
    <row r="11" spans="1:13" s="385" customFormat="1" ht="15" customHeight="1" x14ac:dyDescent="0.3">
      <c r="A11" s="407" t="s">
        <v>10</v>
      </c>
      <c r="B11" s="1173" t="s">
        <v>403</v>
      </c>
      <c r="C11" s="1173"/>
      <c r="D11" s="408">
        <v>41985</v>
      </c>
      <c r="E11" s="409" t="s">
        <v>404</v>
      </c>
      <c r="F11" s="409">
        <v>3048000</v>
      </c>
      <c r="G11" s="409">
        <v>3048000</v>
      </c>
      <c r="H11" s="409">
        <f>G11</f>
        <v>3048000</v>
      </c>
      <c r="I11" s="409">
        <v>3048000</v>
      </c>
      <c r="J11" s="1173" t="s">
        <v>345</v>
      </c>
      <c r="K11" s="1173"/>
      <c r="L11" s="1173"/>
      <c r="M11" s="384"/>
    </row>
    <row r="12" spans="1:13" s="385" customFormat="1" ht="15" customHeight="1" x14ac:dyDescent="0.3">
      <c r="A12" s="407" t="s">
        <v>510</v>
      </c>
      <c r="B12" s="1187" t="s">
        <v>346</v>
      </c>
      <c r="C12" s="1187"/>
      <c r="D12" s="408">
        <v>40555</v>
      </c>
      <c r="E12" s="409" t="s">
        <v>852</v>
      </c>
      <c r="F12" s="409">
        <v>3838956</v>
      </c>
      <c r="G12" s="409">
        <v>3838956</v>
      </c>
      <c r="H12" s="409">
        <v>3838956</v>
      </c>
      <c r="I12" s="409">
        <v>3838956</v>
      </c>
      <c r="J12" s="1184" t="s">
        <v>347</v>
      </c>
      <c r="K12" s="1184"/>
      <c r="L12" s="1184"/>
      <c r="M12" s="384"/>
    </row>
    <row r="13" spans="1:13" s="385" customFormat="1" ht="15" customHeight="1" x14ac:dyDescent="0.3">
      <c r="A13" s="407" t="s">
        <v>12</v>
      </c>
      <c r="B13" s="1187" t="s">
        <v>445</v>
      </c>
      <c r="C13" s="1187"/>
      <c r="D13" s="408">
        <v>43980</v>
      </c>
      <c r="E13" s="409" t="s">
        <v>511</v>
      </c>
      <c r="F13" s="409">
        <v>6794148</v>
      </c>
      <c r="G13" s="409">
        <v>6794148</v>
      </c>
      <c r="H13" s="409">
        <v>6794148</v>
      </c>
      <c r="I13" s="409">
        <v>6794148</v>
      </c>
      <c r="J13" s="1184" t="s">
        <v>446</v>
      </c>
      <c r="K13" s="1184"/>
      <c r="L13" s="1184"/>
      <c r="M13" s="384"/>
    </row>
    <row r="14" spans="1:13" s="385" customFormat="1" ht="15" customHeight="1" x14ac:dyDescent="0.3">
      <c r="A14" s="407" t="s">
        <v>14</v>
      </c>
      <c r="B14" s="1187" t="s">
        <v>447</v>
      </c>
      <c r="C14" s="1187"/>
      <c r="D14" s="408">
        <v>42880</v>
      </c>
      <c r="E14" s="409" t="s">
        <v>771</v>
      </c>
      <c r="F14" s="409">
        <v>333600</v>
      </c>
      <c r="G14" s="409">
        <v>333600</v>
      </c>
      <c r="H14" s="409">
        <v>333600</v>
      </c>
      <c r="I14" s="409">
        <v>333600</v>
      </c>
      <c r="J14" s="1184" t="s">
        <v>448</v>
      </c>
      <c r="K14" s="1184"/>
      <c r="L14" s="1184"/>
      <c r="M14" s="384"/>
    </row>
    <row r="15" spans="1:13" s="385" customFormat="1" ht="15" customHeight="1" x14ac:dyDescent="0.3">
      <c r="A15" s="407" t="s">
        <v>16</v>
      </c>
      <c r="B15" s="1187" t="s">
        <v>772</v>
      </c>
      <c r="C15" s="1187"/>
      <c r="D15" s="408">
        <v>43318</v>
      </c>
      <c r="E15" s="409" t="s">
        <v>853</v>
      </c>
      <c r="F15" s="409">
        <v>179172</v>
      </c>
      <c r="G15" s="409">
        <v>179172</v>
      </c>
      <c r="H15" s="409">
        <v>179172</v>
      </c>
      <c r="I15" s="409">
        <v>179172</v>
      </c>
      <c r="J15" s="1183" t="s">
        <v>451</v>
      </c>
      <c r="K15" s="1183"/>
      <c r="L15" s="1183"/>
      <c r="M15" s="384"/>
    </row>
    <row r="16" spans="1:13" s="385" customFormat="1" ht="15" customHeight="1" x14ac:dyDescent="0.3">
      <c r="A16" s="407" t="s">
        <v>17</v>
      </c>
      <c r="B16" s="1187" t="s">
        <v>450</v>
      </c>
      <c r="C16" s="1187"/>
      <c r="D16" s="408">
        <v>43292</v>
      </c>
      <c r="E16" s="409" t="s">
        <v>773</v>
      </c>
      <c r="F16" s="409">
        <v>5562600</v>
      </c>
      <c r="G16" s="409">
        <v>5562600</v>
      </c>
      <c r="H16" s="409">
        <v>5562600</v>
      </c>
      <c r="I16" s="409">
        <v>5562600</v>
      </c>
      <c r="J16" s="1183" t="s">
        <v>854</v>
      </c>
      <c r="K16" s="1183"/>
      <c r="L16" s="1183"/>
      <c r="M16" s="384"/>
    </row>
    <row r="17" spans="1:13" s="385" customFormat="1" ht="15" customHeight="1" x14ac:dyDescent="0.3">
      <c r="A17" s="407" t="s">
        <v>18</v>
      </c>
      <c r="B17" s="1173" t="s">
        <v>361</v>
      </c>
      <c r="C17" s="1173"/>
      <c r="D17" s="408">
        <v>40627</v>
      </c>
      <c r="E17" s="409" t="s">
        <v>516</v>
      </c>
      <c r="F17" s="409">
        <v>241785</v>
      </c>
      <c r="G17" s="409">
        <v>241785</v>
      </c>
      <c r="H17" s="409">
        <v>241785</v>
      </c>
      <c r="I17" s="409">
        <v>241785</v>
      </c>
      <c r="J17" s="1185" t="s">
        <v>456</v>
      </c>
      <c r="K17" s="1185"/>
      <c r="L17" s="1185"/>
      <c r="M17" s="384"/>
    </row>
    <row r="18" spans="1:13" s="385" customFormat="1" ht="15" customHeight="1" x14ac:dyDescent="0.3">
      <c r="A18" s="407" t="s">
        <v>168</v>
      </c>
      <c r="B18" s="1173" t="s">
        <v>454</v>
      </c>
      <c r="C18" s="1173"/>
      <c r="D18" s="408">
        <v>41075</v>
      </c>
      <c r="E18" s="409" t="s">
        <v>855</v>
      </c>
      <c r="F18" s="409">
        <v>651510</v>
      </c>
      <c r="G18" s="409">
        <v>651510</v>
      </c>
      <c r="H18" s="409">
        <v>651510</v>
      </c>
      <c r="I18" s="409">
        <v>651510</v>
      </c>
      <c r="J18" s="1185" t="s">
        <v>455</v>
      </c>
      <c r="K18" s="1185"/>
      <c r="L18" s="1185"/>
      <c r="M18" s="384"/>
    </row>
    <row r="19" spans="1:13" s="385" customFormat="1" ht="15" customHeight="1" x14ac:dyDescent="0.25">
      <c r="A19" s="407" t="s">
        <v>169</v>
      </c>
      <c r="B19" s="1187" t="s">
        <v>348</v>
      </c>
      <c r="C19" s="1187"/>
      <c r="D19" s="408">
        <v>42250</v>
      </c>
      <c r="E19" s="409" t="s">
        <v>856</v>
      </c>
      <c r="F19" s="409">
        <v>178188</v>
      </c>
      <c r="G19" s="409">
        <v>178188</v>
      </c>
      <c r="H19" s="409">
        <v>178188</v>
      </c>
      <c r="I19" s="409">
        <v>178188</v>
      </c>
      <c r="J19" s="1186" t="s">
        <v>857</v>
      </c>
      <c r="K19" s="1186"/>
      <c r="L19" s="1186"/>
      <c r="M19" s="384"/>
    </row>
    <row r="20" spans="1:13" s="385" customFormat="1" ht="15" customHeight="1" x14ac:dyDescent="0.25">
      <c r="A20" s="407" t="s">
        <v>171</v>
      </c>
      <c r="B20" s="1187" t="s">
        <v>349</v>
      </c>
      <c r="C20" s="1187"/>
      <c r="D20" s="408">
        <v>40535</v>
      </c>
      <c r="E20" s="410" t="s">
        <v>520</v>
      </c>
      <c r="F20" s="410" t="s">
        <v>408</v>
      </c>
      <c r="G20" s="410" t="s">
        <v>408</v>
      </c>
      <c r="H20" s="410" t="s">
        <v>408</v>
      </c>
      <c r="I20" s="410" t="s">
        <v>408</v>
      </c>
      <c r="J20" s="1187" t="s">
        <v>521</v>
      </c>
      <c r="K20" s="1187"/>
      <c r="L20" s="1187"/>
      <c r="M20" s="384"/>
    </row>
    <row r="21" spans="1:13" s="385" customFormat="1" ht="15" customHeight="1" x14ac:dyDescent="0.3">
      <c r="A21" s="407" t="s">
        <v>172</v>
      </c>
      <c r="B21" s="1173" t="s">
        <v>351</v>
      </c>
      <c r="C21" s="1173"/>
      <c r="D21" s="408">
        <v>40646</v>
      </c>
      <c r="E21" s="409" t="s">
        <v>352</v>
      </c>
      <c r="F21" s="409">
        <v>180000</v>
      </c>
      <c r="G21" s="409">
        <v>180000</v>
      </c>
      <c r="H21" s="409">
        <v>180000</v>
      </c>
      <c r="I21" s="409">
        <v>180000</v>
      </c>
      <c r="J21" s="1187" t="s">
        <v>350</v>
      </c>
      <c r="K21" s="1187"/>
      <c r="L21" s="1187"/>
      <c r="M21" s="384"/>
    </row>
    <row r="22" spans="1:13" s="385" customFormat="1" ht="15" customHeight="1" x14ac:dyDescent="0.3">
      <c r="A22" s="407" t="s">
        <v>174</v>
      </c>
      <c r="B22" s="1173" t="s">
        <v>353</v>
      </c>
      <c r="C22" s="1173"/>
      <c r="D22" s="408">
        <v>42424</v>
      </c>
      <c r="E22" s="409" t="s">
        <v>354</v>
      </c>
      <c r="F22" s="409">
        <v>5074920</v>
      </c>
      <c r="G22" s="409">
        <v>5074920</v>
      </c>
      <c r="H22" s="409">
        <v>5074920</v>
      </c>
      <c r="I22" s="409">
        <v>5074920</v>
      </c>
      <c r="J22" s="1187" t="s">
        <v>355</v>
      </c>
      <c r="K22" s="1187"/>
      <c r="L22" s="1187"/>
      <c r="M22" s="384"/>
    </row>
    <row r="23" spans="1:13" s="385" customFormat="1" ht="36.75" customHeight="1" x14ac:dyDescent="0.25">
      <c r="A23" s="407" t="s">
        <v>175</v>
      </c>
      <c r="B23" s="1197" t="s">
        <v>666</v>
      </c>
      <c r="C23" s="1197"/>
      <c r="D23" s="411">
        <v>39832</v>
      </c>
      <c r="E23" s="409" t="s">
        <v>858</v>
      </c>
      <c r="F23" s="409">
        <v>480060</v>
      </c>
      <c r="G23" s="409">
        <v>480060</v>
      </c>
      <c r="H23" s="409">
        <v>480060</v>
      </c>
      <c r="I23" s="409">
        <v>480060</v>
      </c>
      <c r="J23" s="1181" t="s">
        <v>356</v>
      </c>
      <c r="K23" s="1181"/>
      <c r="L23" s="1181"/>
      <c r="M23" s="384"/>
    </row>
    <row r="24" spans="1:13" s="385" customFormat="1" ht="27.75" customHeight="1" x14ac:dyDescent="0.25">
      <c r="A24" s="407" t="s">
        <v>176</v>
      </c>
      <c r="B24" s="1187" t="s">
        <v>859</v>
      </c>
      <c r="C24" s="1187"/>
      <c r="D24" s="411">
        <v>45097</v>
      </c>
      <c r="E24" s="412" t="s">
        <v>860</v>
      </c>
      <c r="F24" s="412">
        <v>376428</v>
      </c>
      <c r="G24" s="412">
        <v>376428</v>
      </c>
      <c r="H24" s="412">
        <v>376428</v>
      </c>
      <c r="I24" s="412">
        <v>376428</v>
      </c>
      <c r="J24" s="1181" t="s">
        <v>357</v>
      </c>
      <c r="K24" s="1181"/>
      <c r="L24" s="1181"/>
      <c r="M24" s="384"/>
    </row>
    <row r="25" spans="1:13" s="385" customFormat="1" ht="24.75" customHeight="1" x14ac:dyDescent="0.3">
      <c r="A25" s="407" t="s">
        <v>184</v>
      </c>
      <c r="B25" s="1173" t="s">
        <v>358</v>
      </c>
      <c r="C25" s="1173"/>
      <c r="D25" s="411">
        <v>39472</v>
      </c>
      <c r="E25" s="412" t="s">
        <v>774</v>
      </c>
      <c r="F25" s="413">
        <v>1883664</v>
      </c>
      <c r="G25" s="413">
        <v>1883664</v>
      </c>
      <c r="H25" s="413">
        <v>1883664</v>
      </c>
      <c r="I25" s="413">
        <v>1883664</v>
      </c>
      <c r="J25" s="1181" t="s">
        <v>359</v>
      </c>
      <c r="K25" s="1181"/>
      <c r="L25" s="1181"/>
      <c r="M25" s="384"/>
    </row>
    <row r="26" spans="1:13" s="385" customFormat="1" ht="29.25" customHeight="1" x14ac:dyDescent="0.3">
      <c r="A26" s="407" t="s">
        <v>186</v>
      </c>
      <c r="B26" s="1182" t="s">
        <v>493</v>
      </c>
      <c r="C26" s="1182"/>
      <c r="D26" s="414" t="s">
        <v>494</v>
      </c>
      <c r="E26" s="410" t="s">
        <v>684</v>
      </c>
      <c r="F26" s="409">
        <v>15956280</v>
      </c>
      <c r="G26" s="409">
        <v>15956280</v>
      </c>
      <c r="H26" s="409">
        <v>15956280</v>
      </c>
      <c r="I26" s="409">
        <v>15956280</v>
      </c>
      <c r="J26" s="1181" t="s">
        <v>531</v>
      </c>
      <c r="K26" s="1181"/>
      <c r="L26" s="1181"/>
      <c r="M26" s="384"/>
    </row>
    <row r="27" spans="1:13" s="385" customFormat="1" ht="27.75" customHeight="1" x14ac:dyDescent="0.3">
      <c r="A27" s="407" t="s">
        <v>665</v>
      </c>
      <c r="B27" s="1182" t="s">
        <v>493</v>
      </c>
      <c r="C27" s="1182"/>
      <c r="D27" s="415">
        <v>44887</v>
      </c>
      <c r="E27" s="410" t="s">
        <v>861</v>
      </c>
      <c r="F27" s="409">
        <v>2286000</v>
      </c>
      <c r="G27" s="409">
        <v>2286000</v>
      </c>
      <c r="H27" s="409">
        <v>2286000</v>
      </c>
      <c r="I27" s="409">
        <v>2286000</v>
      </c>
      <c r="J27" s="1188" t="s">
        <v>862</v>
      </c>
      <c r="K27" s="1189"/>
      <c r="L27" s="1190"/>
      <c r="M27" s="384"/>
    </row>
    <row r="28" spans="1:13" s="385" customFormat="1" ht="30" customHeight="1" x14ac:dyDescent="0.3">
      <c r="A28" s="407" t="s">
        <v>512</v>
      </c>
      <c r="B28" s="1182" t="s">
        <v>457</v>
      </c>
      <c r="C28" s="1182"/>
      <c r="D28" s="408">
        <v>41271</v>
      </c>
      <c r="E28" s="409" t="s">
        <v>863</v>
      </c>
      <c r="F28" s="409">
        <v>461010</v>
      </c>
      <c r="G28" s="409">
        <v>461010</v>
      </c>
      <c r="H28" s="409">
        <v>461010</v>
      </c>
      <c r="I28" s="409">
        <v>461010</v>
      </c>
      <c r="J28" s="1181" t="s">
        <v>458</v>
      </c>
      <c r="K28" s="1181"/>
      <c r="L28" s="1181"/>
      <c r="M28" s="384"/>
    </row>
    <row r="29" spans="1:13" s="385" customFormat="1" ht="15" customHeight="1" x14ac:dyDescent="0.25">
      <c r="A29" s="407" t="s">
        <v>513</v>
      </c>
      <c r="B29" s="1180" t="s">
        <v>360</v>
      </c>
      <c r="C29" s="1180"/>
      <c r="D29" s="411">
        <v>41982</v>
      </c>
      <c r="E29" s="409" t="s">
        <v>452</v>
      </c>
      <c r="F29" s="409">
        <v>45720</v>
      </c>
      <c r="G29" s="409">
        <v>45720</v>
      </c>
      <c r="H29" s="409">
        <v>45720</v>
      </c>
      <c r="I29" s="409">
        <v>45720</v>
      </c>
      <c r="J29" s="1181" t="s">
        <v>453</v>
      </c>
      <c r="K29" s="1181"/>
      <c r="L29" s="1181"/>
      <c r="M29" s="384"/>
    </row>
    <row r="30" spans="1:13" s="385" customFormat="1" ht="33.75" customHeight="1" x14ac:dyDescent="0.25">
      <c r="A30" s="407" t="s">
        <v>514</v>
      </c>
      <c r="B30" s="1180" t="s">
        <v>360</v>
      </c>
      <c r="C30" s="1180"/>
      <c r="D30" s="411">
        <v>43817</v>
      </c>
      <c r="E30" s="409" t="s">
        <v>668</v>
      </c>
      <c r="F30" s="409">
        <v>30480</v>
      </c>
      <c r="G30" s="409">
        <v>30480</v>
      </c>
      <c r="H30" s="409">
        <v>30480</v>
      </c>
      <c r="I30" s="409">
        <v>30480</v>
      </c>
      <c r="J30" s="1181" t="s">
        <v>669</v>
      </c>
      <c r="K30" s="1181"/>
      <c r="L30" s="1181"/>
      <c r="M30" s="384"/>
    </row>
    <row r="31" spans="1:13" s="385" customFormat="1" ht="39" customHeight="1" x14ac:dyDescent="0.3">
      <c r="A31" s="407" t="s">
        <v>515</v>
      </c>
      <c r="B31" s="1173" t="s">
        <v>362</v>
      </c>
      <c r="C31" s="1173"/>
      <c r="D31" s="411">
        <v>42622</v>
      </c>
      <c r="E31" s="412" t="s">
        <v>775</v>
      </c>
      <c r="F31" s="412">
        <v>2290296</v>
      </c>
      <c r="G31" s="412">
        <v>2290296</v>
      </c>
      <c r="H31" s="412">
        <v>2290296</v>
      </c>
      <c r="I31" s="412">
        <v>2290296</v>
      </c>
      <c r="J31" s="1181" t="s">
        <v>363</v>
      </c>
      <c r="K31" s="1181"/>
      <c r="L31" s="1181"/>
      <c r="M31" s="384"/>
    </row>
    <row r="32" spans="1:13" s="385" customFormat="1" ht="15" customHeight="1" x14ac:dyDescent="0.3">
      <c r="A32" s="407" t="s">
        <v>517</v>
      </c>
      <c r="B32" s="1182" t="s">
        <v>409</v>
      </c>
      <c r="C32" s="1182"/>
      <c r="D32" s="416">
        <v>40240</v>
      </c>
      <c r="E32" s="409" t="s">
        <v>670</v>
      </c>
      <c r="F32" s="409">
        <v>392430</v>
      </c>
      <c r="G32" s="409">
        <v>392430</v>
      </c>
      <c r="H32" s="409">
        <v>392430</v>
      </c>
      <c r="I32" s="409">
        <v>392430</v>
      </c>
      <c r="J32" s="1181" t="s">
        <v>671</v>
      </c>
      <c r="K32" s="1181"/>
      <c r="L32" s="1181"/>
      <c r="M32" s="384"/>
    </row>
    <row r="33" spans="1:13" s="385" customFormat="1" ht="40.5" customHeight="1" x14ac:dyDescent="0.3">
      <c r="A33" s="407" t="s">
        <v>667</v>
      </c>
      <c r="B33" s="1182" t="s">
        <v>410</v>
      </c>
      <c r="C33" s="1182"/>
      <c r="D33" s="415">
        <v>42732</v>
      </c>
      <c r="E33" s="409" t="s">
        <v>864</v>
      </c>
      <c r="F33" s="412">
        <v>403860</v>
      </c>
      <c r="G33" s="412">
        <v>403860</v>
      </c>
      <c r="H33" s="412">
        <v>403860</v>
      </c>
      <c r="I33" s="412">
        <v>403860</v>
      </c>
      <c r="J33" s="1181" t="s">
        <v>416</v>
      </c>
      <c r="K33" s="1181"/>
      <c r="L33" s="1181"/>
      <c r="M33" s="384"/>
    </row>
    <row r="34" spans="1:13" s="385" customFormat="1" ht="15" customHeight="1" x14ac:dyDescent="0.3">
      <c r="A34" s="407" t="s">
        <v>518</v>
      </c>
      <c r="B34" s="1182" t="s">
        <v>410</v>
      </c>
      <c r="C34" s="1182"/>
      <c r="D34" s="408">
        <v>42723</v>
      </c>
      <c r="E34" s="409" t="s">
        <v>865</v>
      </c>
      <c r="F34" s="412">
        <v>175260</v>
      </c>
      <c r="G34" s="412">
        <v>175260</v>
      </c>
      <c r="H34" s="412">
        <v>175260</v>
      </c>
      <c r="I34" s="412">
        <v>175260</v>
      </c>
      <c r="J34" s="1181" t="s">
        <v>417</v>
      </c>
      <c r="K34" s="1181"/>
      <c r="L34" s="1181"/>
      <c r="M34" s="384"/>
    </row>
    <row r="35" spans="1:13" s="385" customFormat="1" ht="15" customHeight="1" x14ac:dyDescent="0.3">
      <c r="A35" s="407" t="s">
        <v>519</v>
      </c>
      <c r="B35" s="1182" t="s">
        <v>866</v>
      </c>
      <c r="C35" s="1182"/>
      <c r="D35" s="408"/>
      <c r="E35" s="409" t="s">
        <v>352</v>
      </c>
      <c r="F35" s="412">
        <v>180000</v>
      </c>
      <c r="G35" s="412">
        <v>180000</v>
      </c>
      <c r="H35" s="412">
        <v>180000</v>
      </c>
      <c r="I35" s="412">
        <v>180000</v>
      </c>
      <c r="J35" s="1181" t="s">
        <v>411</v>
      </c>
      <c r="K35" s="1181"/>
      <c r="L35" s="1181"/>
      <c r="M35" s="384"/>
    </row>
    <row r="36" spans="1:13" s="385" customFormat="1" ht="18" customHeight="1" x14ac:dyDescent="0.3">
      <c r="A36" s="407" t="s">
        <v>522</v>
      </c>
      <c r="B36" s="1182" t="s">
        <v>867</v>
      </c>
      <c r="C36" s="1182"/>
      <c r="D36" s="408">
        <v>45237</v>
      </c>
      <c r="E36" s="409" t="s">
        <v>868</v>
      </c>
      <c r="F36" s="412">
        <v>243655</v>
      </c>
      <c r="G36" s="412">
        <v>243655</v>
      </c>
      <c r="H36" s="412">
        <v>243655</v>
      </c>
      <c r="I36" s="412">
        <v>243655</v>
      </c>
      <c r="J36" s="1181" t="s">
        <v>869</v>
      </c>
      <c r="K36" s="1181"/>
      <c r="L36" s="1181"/>
      <c r="M36" s="384"/>
    </row>
    <row r="37" spans="1:13" s="385" customFormat="1" ht="15" customHeight="1" x14ac:dyDescent="0.3">
      <c r="A37" s="407" t="s">
        <v>523</v>
      </c>
      <c r="B37" s="1182" t="s">
        <v>870</v>
      </c>
      <c r="C37" s="1182"/>
      <c r="D37" s="408">
        <v>45236</v>
      </c>
      <c r="E37" s="409" t="s">
        <v>871</v>
      </c>
      <c r="F37" s="412">
        <v>62164</v>
      </c>
      <c r="G37" s="412">
        <v>62164</v>
      </c>
      <c r="H37" s="412">
        <v>62164</v>
      </c>
      <c r="I37" s="412">
        <v>62164</v>
      </c>
      <c r="J37" s="1181" t="s">
        <v>872</v>
      </c>
      <c r="K37" s="1181"/>
      <c r="L37" s="1181"/>
      <c r="M37" s="384"/>
    </row>
    <row r="38" spans="1:13" s="385" customFormat="1" ht="15" customHeight="1" x14ac:dyDescent="0.3">
      <c r="A38" s="407" t="s">
        <v>524</v>
      </c>
      <c r="B38" s="551" t="s">
        <v>412</v>
      </c>
      <c r="C38" s="551"/>
      <c r="D38" s="408">
        <v>39538</v>
      </c>
      <c r="E38" s="409" t="s">
        <v>873</v>
      </c>
      <c r="F38" s="412">
        <v>166370</v>
      </c>
      <c r="G38" s="412">
        <v>166370</v>
      </c>
      <c r="H38" s="412">
        <v>166370</v>
      </c>
      <c r="I38" s="412">
        <v>166370</v>
      </c>
      <c r="J38" s="1181" t="s">
        <v>413</v>
      </c>
      <c r="K38" s="1181"/>
      <c r="L38" s="1181"/>
      <c r="M38" s="384"/>
    </row>
    <row r="39" spans="1:13" s="385" customFormat="1" ht="33.75" customHeight="1" x14ac:dyDescent="0.3">
      <c r="A39" s="407" t="s">
        <v>525</v>
      </c>
      <c r="B39" s="1182" t="s">
        <v>414</v>
      </c>
      <c r="C39" s="1182"/>
      <c r="D39" s="408">
        <v>41698</v>
      </c>
      <c r="E39" s="409" t="s">
        <v>874</v>
      </c>
      <c r="F39" s="412">
        <v>370332</v>
      </c>
      <c r="G39" s="412">
        <v>370332</v>
      </c>
      <c r="H39" s="412">
        <v>370332</v>
      </c>
      <c r="I39" s="412">
        <v>370332</v>
      </c>
      <c r="J39" s="1181" t="s">
        <v>415</v>
      </c>
      <c r="K39" s="1181"/>
      <c r="L39" s="1181"/>
      <c r="M39" s="384"/>
    </row>
    <row r="40" spans="1:13" s="385" customFormat="1" ht="42.75" customHeight="1" x14ac:dyDescent="0.3">
      <c r="A40" s="407" t="s">
        <v>526</v>
      </c>
      <c r="B40" s="1182" t="s">
        <v>459</v>
      </c>
      <c r="C40" s="1182"/>
      <c r="D40" s="408" t="s">
        <v>875</v>
      </c>
      <c r="E40" s="409" t="s">
        <v>876</v>
      </c>
      <c r="F40" s="409">
        <v>565712</v>
      </c>
      <c r="G40" s="409" t="s">
        <v>336</v>
      </c>
      <c r="H40" s="409" t="s">
        <v>336</v>
      </c>
      <c r="I40" s="409" t="s">
        <v>336</v>
      </c>
      <c r="J40" s="1181" t="s">
        <v>877</v>
      </c>
      <c r="K40" s="1181"/>
      <c r="L40" s="1181"/>
      <c r="M40" s="384"/>
    </row>
    <row r="41" spans="1:13" s="385" customFormat="1" ht="15" customHeight="1" x14ac:dyDescent="0.3">
      <c r="A41" s="407" t="s">
        <v>527</v>
      </c>
      <c r="B41" s="1182" t="s">
        <v>449</v>
      </c>
      <c r="C41" s="1182"/>
      <c r="D41" s="408">
        <v>43529</v>
      </c>
      <c r="E41" s="409" t="s">
        <v>878</v>
      </c>
      <c r="F41" s="409">
        <v>32208</v>
      </c>
      <c r="G41" s="409">
        <v>32208</v>
      </c>
      <c r="H41" s="409">
        <v>32208</v>
      </c>
      <c r="I41" s="409">
        <v>32208</v>
      </c>
      <c r="J41" s="1181" t="s">
        <v>496</v>
      </c>
      <c r="K41" s="1181"/>
      <c r="L41" s="1181"/>
      <c r="M41" s="384"/>
    </row>
    <row r="42" spans="1:13" s="385" customFormat="1" ht="15" customHeight="1" x14ac:dyDescent="0.3">
      <c r="A42" s="407" t="s">
        <v>528</v>
      </c>
      <c r="B42" s="1182" t="s">
        <v>449</v>
      </c>
      <c r="C42" s="1182"/>
      <c r="D42" s="408">
        <v>43538</v>
      </c>
      <c r="E42" s="409" t="s">
        <v>879</v>
      </c>
      <c r="F42" s="409">
        <v>136908</v>
      </c>
      <c r="G42" s="409">
        <v>136908</v>
      </c>
      <c r="H42" s="409">
        <v>136908</v>
      </c>
      <c r="I42" s="409">
        <v>136908</v>
      </c>
      <c r="J42" s="1181" t="s">
        <v>497</v>
      </c>
      <c r="K42" s="1181"/>
      <c r="L42" s="1181"/>
      <c r="M42" s="384"/>
    </row>
    <row r="43" spans="1:13" s="385" customFormat="1" ht="15" customHeight="1" x14ac:dyDescent="0.3">
      <c r="A43" s="407" t="s">
        <v>529</v>
      </c>
      <c r="B43" s="1182" t="s">
        <v>880</v>
      </c>
      <c r="C43" s="1182"/>
      <c r="D43" s="408">
        <v>45212</v>
      </c>
      <c r="E43" s="409" t="s">
        <v>881</v>
      </c>
      <c r="F43" s="409">
        <v>53136</v>
      </c>
      <c r="G43" s="409">
        <v>53136</v>
      </c>
      <c r="H43" s="409">
        <v>53136</v>
      </c>
      <c r="I43" s="409">
        <v>53136</v>
      </c>
      <c r="J43" s="1181" t="s">
        <v>673</v>
      </c>
      <c r="K43" s="1181"/>
      <c r="L43" s="1181"/>
      <c r="M43" s="384"/>
    </row>
    <row r="44" spans="1:13" s="385" customFormat="1" ht="15" customHeight="1" x14ac:dyDescent="0.3">
      <c r="A44" s="407" t="s">
        <v>530</v>
      </c>
      <c r="B44" s="1182" t="s">
        <v>419</v>
      </c>
      <c r="C44" s="1182"/>
      <c r="D44" s="408">
        <v>40065</v>
      </c>
      <c r="E44" s="409" t="s">
        <v>776</v>
      </c>
      <c r="F44" s="409">
        <v>1048056</v>
      </c>
      <c r="G44" s="409">
        <v>1048056</v>
      </c>
      <c r="H44" s="409">
        <v>1048056</v>
      </c>
      <c r="I44" s="409">
        <v>1048056</v>
      </c>
      <c r="J44" s="1181" t="s">
        <v>418</v>
      </c>
      <c r="K44" s="1181"/>
      <c r="L44" s="1181"/>
      <c r="M44" s="384"/>
    </row>
    <row r="45" spans="1:13" s="385" customFormat="1" ht="15" customHeight="1" x14ac:dyDescent="0.3">
      <c r="A45" s="407" t="s">
        <v>532</v>
      </c>
      <c r="B45" s="1182" t="s">
        <v>552</v>
      </c>
      <c r="C45" s="1182"/>
      <c r="D45" s="408">
        <v>44046</v>
      </c>
      <c r="E45" s="409">
        <v>5000000</v>
      </c>
      <c r="F45" s="409">
        <v>1000000</v>
      </c>
      <c r="G45" s="409" t="s">
        <v>336</v>
      </c>
      <c r="H45" s="409" t="s">
        <v>336</v>
      </c>
      <c r="I45" s="409" t="s">
        <v>336</v>
      </c>
      <c r="J45" s="1181" t="s">
        <v>553</v>
      </c>
      <c r="K45" s="1181"/>
      <c r="L45" s="1181"/>
      <c r="M45" s="384"/>
    </row>
    <row r="46" spans="1:13" s="385" customFormat="1" ht="18.75" customHeight="1" x14ac:dyDescent="0.3">
      <c r="A46" s="407" t="s">
        <v>533</v>
      </c>
      <c r="B46" s="1182" t="s">
        <v>882</v>
      </c>
      <c r="C46" s="1182"/>
      <c r="D46" s="408">
        <v>44686</v>
      </c>
      <c r="E46" s="409">
        <v>5000000</v>
      </c>
      <c r="F46" s="409">
        <v>1000000</v>
      </c>
      <c r="G46" s="409">
        <v>1000000</v>
      </c>
      <c r="H46" s="409">
        <v>1000000</v>
      </c>
      <c r="I46" s="409" t="s">
        <v>336</v>
      </c>
      <c r="J46" s="1171" t="s">
        <v>779</v>
      </c>
      <c r="K46" s="1171"/>
      <c r="L46" s="1171"/>
      <c r="M46" s="384"/>
    </row>
    <row r="47" spans="1:13" s="385" customFormat="1" ht="15" customHeight="1" x14ac:dyDescent="0.3">
      <c r="A47" s="407" t="s">
        <v>672</v>
      </c>
      <c r="B47" s="1191" t="s">
        <v>777</v>
      </c>
      <c r="C47" s="1192"/>
      <c r="D47" s="408">
        <v>44720</v>
      </c>
      <c r="E47" s="409">
        <v>5000000</v>
      </c>
      <c r="F47" s="409">
        <v>1000000</v>
      </c>
      <c r="G47" s="409">
        <v>1000000</v>
      </c>
      <c r="H47" s="409">
        <v>1000000</v>
      </c>
      <c r="I47" s="409" t="s">
        <v>336</v>
      </c>
      <c r="J47" s="1171" t="s">
        <v>778</v>
      </c>
      <c r="K47" s="1171"/>
      <c r="L47" s="1171"/>
      <c r="M47" s="384"/>
    </row>
    <row r="48" spans="1:13" s="385" customFormat="1" ht="15" customHeight="1" x14ac:dyDescent="0.3">
      <c r="A48" s="407" t="s">
        <v>534</v>
      </c>
      <c r="B48" s="1173" t="s">
        <v>403</v>
      </c>
      <c r="C48" s="1173"/>
      <c r="D48" s="408">
        <v>43082</v>
      </c>
      <c r="E48" s="409" t="s">
        <v>883</v>
      </c>
      <c r="F48" s="409">
        <v>339090</v>
      </c>
      <c r="G48" s="409">
        <v>339090</v>
      </c>
      <c r="H48" s="409">
        <v>339090</v>
      </c>
      <c r="I48" s="409">
        <v>339090</v>
      </c>
      <c r="J48" s="1171" t="s">
        <v>405</v>
      </c>
      <c r="K48" s="1171"/>
      <c r="L48" s="1171"/>
      <c r="M48" s="384"/>
    </row>
    <row r="49" spans="1:13" s="385" customFormat="1" ht="15" customHeight="1" x14ac:dyDescent="0.3">
      <c r="A49" s="407" t="s">
        <v>535</v>
      </c>
      <c r="B49" s="1173" t="s">
        <v>337</v>
      </c>
      <c r="C49" s="1173"/>
      <c r="D49" s="408">
        <v>43615</v>
      </c>
      <c r="E49" s="409" t="s">
        <v>498</v>
      </c>
      <c r="F49" s="409">
        <v>1828800</v>
      </c>
      <c r="G49" s="409">
        <v>1828800</v>
      </c>
      <c r="H49" s="409">
        <v>1828800</v>
      </c>
      <c r="I49" s="409">
        <v>1828800</v>
      </c>
      <c r="J49" s="1171" t="s">
        <v>499</v>
      </c>
      <c r="K49" s="1171"/>
      <c r="L49" s="1171"/>
      <c r="M49" s="384"/>
    </row>
    <row r="50" spans="1:13" s="385" customFormat="1" ht="28.5" customHeight="1" x14ac:dyDescent="0.3">
      <c r="A50" s="407" t="s">
        <v>536</v>
      </c>
      <c r="B50" s="1173" t="s">
        <v>554</v>
      </c>
      <c r="C50" s="1173"/>
      <c r="D50" s="408">
        <v>43980</v>
      </c>
      <c r="E50" s="417" t="s">
        <v>555</v>
      </c>
      <c r="F50" s="409">
        <v>1592568</v>
      </c>
      <c r="G50" s="409">
        <v>1592568</v>
      </c>
      <c r="H50" s="409">
        <v>1592568</v>
      </c>
      <c r="I50" s="409">
        <v>1592568</v>
      </c>
      <c r="J50" s="1171" t="s">
        <v>556</v>
      </c>
      <c r="K50" s="1171"/>
      <c r="L50" s="1171"/>
      <c r="M50" s="384"/>
    </row>
    <row r="51" spans="1:13" s="385" customFormat="1" ht="15" customHeight="1" x14ac:dyDescent="0.3">
      <c r="A51" s="407" t="s">
        <v>538</v>
      </c>
      <c r="B51" s="1173" t="s">
        <v>557</v>
      </c>
      <c r="C51" s="1173"/>
      <c r="D51" s="408">
        <v>43649</v>
      </c>
      <c r="E51" s="409" t="s">
        <v>884</v>
      </c>
      <c r="F51" s="409">
        <v>117380</v>
      </c>
      <c r="G51" s="409">
        <v>117380</v>
      </c>
      <c r="H51" s="409">
        <v>117380</v>
      </c>
      <c r="I51" s="409">
        <v>117380</v>
      </c>
      <c r="J51" s="1180" t="s">
        <v>558</v>
      </c>
      <c r="K51" s="1180"/>
      <c r="L51" s="1180"/>
      <c r="M51" s="384"/>
    </row>
    <row r="52" spans="1:13" s="385" customFormat="1" ht="27.75" customHeight="1" x14ac:dyDescent="0.3">
      <c r="A52" s="407" t="s">
        <v>539</v>
      </c>
      <c r="B52" s="1185" t="s">
        <v>559</v>
      </c>
      <c r="C52" s="1185"/>
      <c r="D52" s="408">
        <v>44067</v>
      </c>
      <c r="E52" s="409" t="s">
        <v>537</v>
      </c>
      <c r="F52" s="409">
        <v>1828800</v>
      </c>
      <c r="G52" s="409">
        <v>1828800</v>
      </c>
      <c r="H52" s="409">
        <v>1828800</v>
      </c>
      <c r="I52" s="409">
        <v>1828800</v>
      </c>
      <c r="J52" s="1171" t="s">
        <v>560</v>
      </c>
      <c r="K52" s="1171"/>
      <c r="L52" s="1171"/>
      <c r="M52" s="384"/>
    </row>
    <row r="53" spans="1:13" s="385" customFormat="1" ht="15" customHeight="1" x14ac:dyDescent="0.3">
      <c r="A53" s="407" t="s">
        <v>540</v>
      </c>
      <c r="B53" s="1173" t="s">
        <v>880</v>
      </c>
      <c r="C53" s="1173"/>
      <c r="D53" s="408">
        <v>43893</v>
      </c>
      <c r="E53" s="409" t="s">
        <v>885</v>
      </c>
      <c r="F53" s="409">
        <v>84912</v>
      </c>
      <c r="G53" s="409">
        <v>84912</v>
      </c>
      <c r="H53" s="409">
        <v>84912</v>
      </c>
      <c r="I53" s="409">
        <v>84912</v>
      </c>
      <c r="J53" s="1171" t="s">
        <v>561</v>
      </c>
      <c r="K53" s="1171"/>
      <c r="L53" s="1171"/>
      <c r="M53" s="384"/>
    </row>
    <row r="54" spans="1:13" s="385" customFormat="1" ht="15" customHeight="1" x14ac:dyDescent="0.3">
      <c r="A54" s="407" t="s">
        <v>541</v>
      </c>
      <c r="B54" s="1173" t="s">
        <v>339</v>
      </c>
      <c r="C54" s="1173"/>
      <c r="D54" s="408">
        <v>43894</v>
      </c>
      <c r="E54" s="409" t="s">
        <v>780</v>
      </c>
      <c r="F54" s="409">
        <v>330397</v>
      </c>
      <c r="G54" s="409">
        <v>330397</v>
      </c>
      <c r="H54" s="409">
        <v>330397</v>
      </c>
      <c r="I54" s="409">
        <v>330397</v>
      </c>
      <c r="J54" s="1171" t="s">
        <v>562</v>
      </c>
      <c r="K54" s="1171"/>
      <c r="L54" s="1171"/>
      <c r="M54" s="384"/>
    </row>
    <row r="55" spans="1:13" s="385" customFormat="1" ht="15" customHeight="1" x14ac:dyDescent="0.3">
      <c r="A55" s="407" t="s">
        <v>542</v>
      </c>
      <c r="B55" s="1173" t="s">
        <v>880</v>
      </c>
      <c r="C55" s="1173"/>
      <c r="D55" s="408">
        <v>43817</v>
      </c>
      <c r="E55" s="418" t="s">
        <v>886</v>
      </c>
      <c r="F55" s="409">
        <v>55260</v>
      </c>
      <c r="G55" s="409">
        <v>55260</v>
      </c>
      <c r="H55" s="409">
        <v>55260</v>
      </c>
      <c r="I55" s="409">
        <v>55260</v>
      </c>
      <c r="J55" s="1171" t="s">
        <v>563</v>
      </c>
      <c r="K55" s="1171"/>
      <c r="L55" s="1171"/>
      <c r="M55" s="384"/>
    </row>
    <row r="56" spans="1:13" s="385" customFormat="1" ht="15" customHeight="1" x14ac:dyDescent="0.3">
      <c r="A56" s="407" t="s">
        <v>543</v>
      </c>
      <c r="B56" s="1173" t="s">
        <v>495</v>
      </c>
      <c r="C56" s="1173"/>
      <c r="D56" s="408">
        <v>43832</v>
      </c>
      <c r="E56" s="418" t="s">
        <v>887</v>
      </c>
      <c r="F56" s="409">
        <v>185328</v>
      </c>
      <c r="G56" s="409">
        <v>185328</v>
      </c>
      <c r="H56" s="409">
        <v>185328</v>
      </c>
      <c r="I56" s="409">
        <v>185328</v>
      </c>
      <c r="J56" s="1171" t="s">
        <v>564</v>
      </c>
      <c r="K56" s="1171"/>
      <c r="L56" s="1171"/>
      <c r="M56" s="384"/>
    </row>
    <row r="57" spans="1:13" s="385" customFormat="1" ht="15" customHeight="1" x14ac:dyDescent="0.3">
      <c r="A57" s="407" t="s">
        <v>544</v>
      </c>
      <c r="B57" s="1173" t="s">
        <v>781</v>
      </c>
      <c r="C57" s="1173"/>
      <c r="D57" s="408">
        <v>44835</v>
      </c>
      <c r="E57" s="418" t="s">
        <v>888</v>
      </c>
      <c r="F57" s="409">
        <v>4156800</v>
      </c>
      <c r="G57" s="409">
        <v>4156800</v>
      </c>
      <c r="H57" s="409">
        <v>4156800</v>
      </c>
      <c r="I57" s="409">
        <v>4156800</v>
      </c>
      <c r="J57" s="1171" t="s">
        <v>674</v>
      </c>
      <c r="K57" s="1171"/>
      <c r="L57" s="1171"/>
      <c r="M57" s="384"/>
    </row>
    <row r="58" spans="1:13" s="385" customFormat="1" ht="15" customHeight="1" x14ac:dyDescent="0.3">
      <c r="A58" s="407" t="s">
        <v>545</v>
      </c>
      <c r="B58" s="1173" t="s">
        <v>675</v>
      </c>
      <c r="C58" s="1173"/>
      <c r="D58" s="408">
        <v>44474</v>
      </c>
      <c r="E58" s="418" t="s">
        <v>676</v>
      </c>
      <c r="F58" s="409">
        <v>132588</v>
      </c>
      <c r="G58" s="409">
        <v>132588</v>
      </c>
      <c r="H58" s="409">
        <v>132588</v>
      </c>
      <c r="I58" s="409">
        <v>132588</v>
      </c>
      <c r="J58" s="1171" t="s">
        <v>677</v>
      </c>
      <c r="K58" s="1171"/>
      <c r="L58" s="1171"/>
      <c r="M58" s="384"/>
    </row>
    <row r="59" spans="1:13" s="385" customFormat="1" ht="15" customHeight="1" x14ac:dyDescent="0.3">
      <c r="A59" s="407" t="s">
        <v>546</v>
      </c>
      <c r="B59" s="1173" t="s">
        <v>678</v>
      </c>
      <c r="C59" s="1173"/>
      <c r="D59" s="408">
        <v>44216</v>
      </c>
      <c r="E59" s="418" t="s">
        <v>782</v>
      </c>
      <c r="F59" s="409">
        <v>1200000</v>
      </c>
      <c r="G59" s="409">
        <v>1200000</v>
      </c>
      <c r="H59" s="409">
        <v>1200000</v>
      </c>
      <c r="I59" s="409">
        <v>1200000</v>
      </c>
      <c r="J59" s="1171" t="s">
        <v>679</v>
      </c>
      <c r="K59" s="1171"/>
      <c r="L59" s="1171"/>
      <c r="M59" s="384"/>
    </row>
    <row r="60" spans="1:13" s="385" customFormat="1" ht="15" customHeight="1" x14ac:dyDescent="0.3">
      <c r="A60" s="407" t="s">
        <v>547</v>
      </c>
      <c r="B60" s="1173" t="s">
        <v>680</v>
      </c>
      <c r="C60" s="1173"/>
      <c r="D60" s="408">
        <v>43886</v>
      </c>
      <c r="E60" s="418" t="s">
        <v>681</v>
      </c>
      <c r="F60" s="409">
        <v>780000</v>
      </c>
      <c r="G60" s="409">
        <v>780000</v>
      </c>
      <c r="H60" s="409">
        <v>780000</v>
      </c>
      <c r="I60" s="409">
        <v>780000</v>
      </c>
      <c r="J60" s="1171" t="s">
        <v>682</v>
      </c>
      <c r="K60" s="1171"/>
      <c r="L60" s="1171"/>
      <c r="M60" s="384"/>
    </row>
    <row r="61" spans="1:13" s="385" customFormat="1" ht="15" customHeight="1" x14ac:dyDescent="0.3">
      <c r="A61" s="407" t="s">
        <v>548</v>
      </c>
      <c r="B61" s="1173" t="s">
        <v>344</v>
      </c>
      <c r="C61" s="1173"/>
      <c r="D61" s="408">
        <v>44197</v>
      </c>
      <c r="E61" s="418" t="s">
        <v>783</v>
      </c>
      <c r="F61" s="409">
        <v>275888</v>
      </c>
      <c r="G61" s="409">
        <v>275888</v>
      </c>
      <c r="H61" s="409">
        <v>275888</v>
      </c>
      <c r="I61" s="409">
        <v>275888</v>
      </c>
      <c r="J61" s="1171" t="s">
        <v>784</v>
      </c>
      <c r="K61" s="1171"/>
      <c r="L61" s="1171"/>
      <c r="M61" s="384"/>
    </row>
    <row r="62" spans="1:13" s="385" customFormat="1" ht="15" customHeight="1" x14ac:dyDescent="0.3">
      <c r="A62" s="407" t="s">
        <v>549</v>
      </c>
      <c r="B62" s="1178" t="s">
        <v>889</v>
      </c>
      <c r="C62" s="1179"/>
      <c r="D62" s="408">
        <v>45107</v>
      </c>
      <c r="E62" s="418" t="s">
        <v>890</v>
      </c>
      <c r="F62" s="409">
        <v>63360</v>
      </c>
      <c r="G62" s="409">
        <v>63360</v>
      </c>
      <c r="H62" s="409">
        <v>63360</v>
      </c>
      <c r="I62" s="409">
        <v>63360</v>
      </c>
      <c r="J62" s="1174" t="s">
        <v>891</v>
      </c>
      <c r="K62" s="1175"/>
      <c r="L62" s="1176"/>
      <c r="M62" s="384"/>
    </row>
    <row r="63" spans="1:13" s="385" customFormat="1" ht="15" customHeight="1" x14ac:dyDescent="0.3">
      <c r="A63" s="407" t="s">
        <v>961</v>
      </c>
      <c r="B63" s="1178" t="s">
        <v>626</v>
      </c>
      <c r="C63" s="1179"/>
      <c r="D63" s="408">
        <v>44712</v>
      </c>
      <c r="E63" s="418" t="s">
        <v>963</v>
      </c>
      <c r="F63" s="409">
        <v>20000000</v>
      </c>
      <c r="G63" s="409">
        <v>20000000</v>
      </c>
      <c r="H63" s="409">
        <v>20000000</v>
      </c>
      <c r="I63" s="409">
        <v>20000000</v>
      </c>
      <c r="J63" s="1174" t="s">
        <v>962</v>
      </c>
      <c r="K63" s="1176"/>
      <c r="L63" s="610"/>
      <c r="M63" s="384"/>
    </row>
    <row r="64" spans="1:13" s="385" customFormat="1" ht="15" customHeight="1" x14ac:dyDescent="0.3">
      <c r="A64" s="386"/>
      <c r="B64" s="1177"/>
      <c r="C64" s="1177"/>
      <c r="D64" s="387"/>
      <c r="E64" s="388"/>
      <c r="F64" s="388"/>
      <c r="G64" s="388"/>
      <c r="H64" s="388"/>
      <c r="I64" s="388"/>
      <c r="J64" s="1172"/>
      <c r="K64" s="1172"/>
      <c r="L64" s="1172"/>
      <c r="M64" s="384"/>
    </row>
    <row r="65" spans="1:13" s="385" customFormat="1" ht="15" customHeight="1" x14ac:dyDescent="0.25">
      <c r="A65" s="289" t="s">
        <v>460</v>
      </c>
      <c r="B65" s="289"/>
      <c r="C65" s="289"/>
      <c r="D65" s="289"/>
      <c r="E65" s="289"/>
      <c r="F65" s="289"/>
      <c r="G65" s="289"/>
      <c r="H65" s="289"/>
      <c r="I65" s="289"/>
      <c r="J65" s="289"/>
      <c r="K65" s="305"/>
      <c r="L65" s="289"/>
      <c r="M65" s="384"/>
    </row>
    <row r="66" spans="1:13" s="385" customFormat="1" ht="18.75" customHeight="1" x14ac:dyDescent="0.3">
      <c r="A66" s="407" t="s">
        <v>550</v>
      </c>
      <c r="B66" s="1173" t="s">
        <v>680</v>
      </c>
      <c r="C66" s="1173"/>
      <c r="D66" s="408">
        <v>43886</v>
      </c>
      <c r="E66" s="418" t="s">
        <v>681</v>
      </c>
      <c r="F66" s="409">
        <v>780000</v>
      </c>
      <c r="G66" s="409">
        <v>780000</v>
      </c>
      <c r="H66" s="409">
        <v>780000</v>
      </c>
      <c r="I66" s="409">
        <v>780000</v>
      </c>
      <c r="J66" s="1171" t="s">
        <v>682</v>
      </c>
      <c r="K66" s="1171"/>
      <c r="L66" s="1171"/>
      <c r="M66" s="384"/>
    </row>
    <row r="67" spans="1:13" s="385" customFormat="1" ht="15" customHeight="1" x14ac:dyDescent="0.3">
      <c r="A67" s="407" t="s">
        <v>551</v>
      </c>
      <c r="B67" s="1173" t="s">
        <v>344</v>
      </c>
      <c r="C67" s="1173"/>
      <c r="D67" s="408">
        <v>44197</v>
      </c>
      <c r="E67" s="418" t="s">
        <v>783</v>
      </c>
      <c r="F67" s="409">
        <v>275888</v>
      </c>
      <c r="G67" s="409">
        <v>275888</v>
      </c>
      <c r="H67" s="409">
        <v>275888</v>
      </c>
      <c r="I67" s="409">
        <v>275888</v>
      </c>
      <c r="J67" s="1171" t="s">
        <v>784</v>
      </c>
      <c r="K67" s="1171"/>
      <c r="L67" s="1171"/>
      <c r="M67" s="384"/>
    </row>
    <row r="68" spans="1:13" s="385" customFormat="1" ht="15" customHeight="1" x14ac:dyDescent="0.3">
      <c r="A68" s="386"/>
      <c r="B68" s="1177"/>
      <c r="C68" s="1177"/>
      <c r="D68" s="387"/>
      <c r="E68" s="388"/>
      <c r="F68" s="388"/>
      <c r="G68" s="388"/>
      <c r="H68" s="388"/>
      <c r="I68" s="388"/>
      <c r="J68" s="1172"/>
      <c r="K68" s="1172"/>
      <c r="L68" s="1172"/>
      <c r="M68" s="384"/>
    </row>
    <row r="69" spans="1:13" ht="13.5" customHeight="1" x14ac:dyDescent="0.25">
      <c r="A69" s="289" t="s">
        <v>460</v>
      </c>
      <c r="B69" s="289"/>
      <c r="C69" s="289"/>
      <c r="D69" s="289"/>
      <c r="E69" s="289"/>
      <c r="F69" s="289"/>
      <c r="G69" s="289"/>
      <c r="H69" s="289"/>
      <c r="I69" s="289"/>
      <c r="J69" s="289"/>
      <c r="K69" s="305"/>
      <c r="L69" s="289"/>
      <c r="M69" s="289"/>
    </row>
    <row r="70" spans="1:13" x14ac:dyDescent="0.25">
      <c r="B70" s="357"/>
      <c r="C70" s="357"/>
      <c r="D70" s="357"/>
      <c r="E70" s="357"/>
      <c r="F70" s="357"/>
      <c r="G70" s="357"/>
      <c r="H70" s="357"/>
      <c r="I70" s="357"/>
      <c r="J70" s="593"/>
      <c r="K70" s="357"/>
      <c r="L70" s="357"/>
      <c r="M70" s="357"/>
    </row>
    <row r="71" spans="1:13" ht="13" x14ac:dyDescent="0.3">
      <c r="A71" s="208" t="s">
        <v>278</v>
      </c>
      <c r="B71" s="357"/>
      <c r="C71" s="357"/>
      <c r="D71" s="553"/>
      <c r="E71" s="357"/>
      <c r="F71" s="357"/>
      <c r="G71" s="357"/>
      <c r="H71" s="357"/>
      <c r="I71" s="553"/>
      <c r="J71" s="593"/>
      <c r="K71" s="357"/>
      <c r="L71" s="357"/>
      <c r="M71" s="357"/>
    </row>
    <row r="72" spans="1:13" ht="13" x14ac:dyDescent="0.3">
      <c r="A72" s="208"/>
      <c r="B72" s="357"/>
      <c r="C72" s="357"/>
      <c r="D72" s="553"/>
      <c r="E72" s="357"/>
      <c r="F72" s="357"/>
      <c r="G72" s="357"/>
      <c r="H72" s="357"/>
      <c r="I72" s="553"/>
      <c r="J72" s="593"/>
      <c r="K72" s="357"/>
      <c r="L72" s="357"/>
      <c r="M72" s="357"/>
    </row>
    <row r="73" spans="1:13" ht="13" x14ac:dyDescent="0.3">
      <c r="A73" s="208" t="s">
        <v>565</v>
      </c>
      <c r="B73" s="357"/>
      <c r="C73" s="357"/>
      <c r="D73" s="553"/>
      <c r="E73" s="357"/>
      <c r="F73" s="570" t="s">
        <v>787</v>
      </c>
      <c r="G73" s="357"/>
      <c r="H73" s="357"/>
      <c r="I73" s="553"/>
      <c r="J73" s="594" t="s">
        <v>695</v>
      </c>
      <c r="K73" s="357"/>
      <c r="L73" s="357"/>
      <c r="M73" s="357"/>
    </row>
    <row r="74" spans="1:13" ht="52" x14ac:dyDescent="0.3">
      <c r="A74" s="351" t="s">
        <v>331</v>
      </c>
      <c r="B74" s="360" t="s">
        <v>422</v>
      </c>
      <c r="C74" s="360" t="s">
        <v>423</v>
      </c>
      <c r="D74" s="554" t="s">
        <v>424</v>
      </c>
      <c r="E74" s="361" t="s">
        <v>425</v>
      </c>
      <c r="F74" s="362" t="s">
        <v>426</v>
      </c>
      <c r="G74" s="361" t="s">
        <v>427</v>
      </c>
      <c r="H74" s="361" t="s">
        <v>566</v>
      </c>
      <c r="I74" s="571" t="s">
        <v>895</v>
      </c>
      <c r="J74" s="595" t="s">
        <v>428</v>
      </c>
      <c r="K74" s="357"/>
      <c r="L74" s="357"/>
      <c r="M74" s="357"/>
    </row>
    <row r="75" spans="1:13" ht="51" x14ac:dyDescent="0.35">
      <c r="A75" s="555">
        <v>1</v>
      </c>
      <c r="B75" s="556" t="s">
        <v>896</v>
      </c>
      <c r="C75" s="556" t="s">
        <v>897</v>
      </c>
      <c r="D75" s="557">
        <v>4952000</v>
      </c>
      <c r="E75" s="558">
        <v>1</v>
      </c>
      <c r="F75" s="389" t="s">
        <v>898</v>
      </c>
      <c r="G75" s="559" t="s">
        <v>899</v>
      </c>
      <c r="H75" s="559" t="s">
        <v>900</v>
      </c>
      <c r="I75" s="560">
        <v>0</v>
      </c>
      <c r="J75" s="561" t="s">
        <v>901</v>
      </c>
      <c r="K75" s="357"/>
      <c r="L75" s="357"/>
      <c r="M75" s="357"/>
    </row>
    <row r="76" spans="1:13" ht="50.5" x14ac:dyDescent="0.3">
      <c r="A76" s="555">
        <v>2</v>
      </c>
      <c r="B76" s="556" t="s">
        <v>902</v>
      </c>
      <c r="C76" s="556" t="s">
        <v>903</v>
      </c>
      <c r="D76" s="557" t="s">
        <v>900</v>
      </c>
      <c r="E76" s="559" t="s">
        <v>900</v>
      </c>
      <c r="F76" s="389" t="s">
        <v>898</v>
      </c>
      <c r="G76" s="559" t="s">
        <v>904</v>
      </c>
      <c r="H76" s="559"/>
      <c r="I76" s="560">
        <v>0</v>
      </c>
      <c r="J76" s="562" t="s">
        <v>905</v>
      </c>
      <c r="K76" s="357"/>
      <c r="L76" s="357"/>
      <c r="M76" s="357"/>
    </row>
    <row r="77" spans="1:13" ht="325.25" customHeight="1" x14ac:dyDescent="0.3">
      <c r="A77" s="555">
        <v>3</v>
      </c>
      <c r="B77" s="556" t="s">
        <v>906</v>
      </c>
      <c r="C77" s="556" t="s">
        <v>907</v>
      </c>
      <c r="D77" s="563">
        <v>68325793</v>
      </c>
      <c r="E77" s="558">
        <v>1</v>
      </c>
      <c r="F77" s="564" t="s">
        <v>908</v>
      </c>
      <c r="G77" s="559" t="s">
        <v>909</v>
      </c>
      <c r="H77" s="559"/>
      <c r="I77" s="560">
        <v>58197779</v>
      </c>
      <c r="J77" s="596" t="s">
        <v>910</v>
      </c>
      <c r="K77" s="357"/>
      <c r="L77" s="357"/>
      <c r="M77" s="357"/>
    </row>
    <row r="78" spans="1:13" ht="174" customHeight="1" x14ac:dyDescent="0.3">
      <c r="A78" s="555">
        <v>4</v>
      </c>
      <c r="B78" s="565" t="s">
        <v>911</v>
      </c>
      <c r="C78" s="556" t="s">
        <v>912</v>
      </c>
      <c r="D78" s="557">
        <v>0</v>
      </c>
      <c r="E78" s="559"/>
      <c r="F78" s="564" t="s">
        <v>913</v>
      </c>
      <c r="G78" s="559"/>
      <c r="H78" s="559"/>
      <c r="I78" s="560">
        <v>0</v>
      </c>
      <c r="J78" s="596" t="s">
        <v>914</v>
      </c>
      <c r="K78" s="357"/>
      <c r="L78" s="357"/>
      <c r="M78" s="357"/>
    </row>
    <row r="79" spans="1:13" ht="291.64999999999998" customHeight="1" x14ac:dyDescent="0.3">
      <c r="A79" s="555">
        <v>5</v>
      </c>
      <c r="B79" s="566" t="s">
        <v>915</v>
      </c>
      <c r="C79" s="559" t="s">
        <v>916</v>
      </c>
      <c r="D79" s="567">
        <v>0</v>
      </c>
      <c r="E79" s="437">
        <v>0.95</v>
      </c>
      <c r="F79" s="564" t="s">
        <v>917</v>
      </c>
      <c r="G79" s="389" t="s">
        <v>918</v>
      </c>
      <c r="H79" s="438">
        <v>0</v>
      </c>
      <c r="I79" s="567">
        <v>0</v>
      </c>
      <c r="J79" s="596" t="s">
        <v>919</v>
      </c>
      <c r="K79" s="357"/>
      <c r="L79" s="357"/>
      <c r="M79" s="357"/>
    </row>
    <row r="80" spans="1:13" ht="111" customHeight="1" x14ac:dyDescent="0.3">
      <c r="A80" s="555">
        <v>6</v>
      </c>
      <c r="B80" s="568" t="s">
        <v>920</v>
      </c>
      <c r="C80" s="556" t="s">
        <v>921</v>
      </c>
      <c r="D80" s="557">
        <v>100000000</v>
      </c>
      <c r="E80" s="559"/>
      <c r="F80" s="564" t="s">
        <v>922</v>
      </c>
      <c r="G80" s="389" t="s">
        <v>923</v>
      </c>
      <c r="H80" s="559"/>
      <c r="I80" s="560">
        <v>0</v>
      </c>
      <c r="J80" s="597" t="s">
        <v>924</v>
      </c>
      <c r="K80" s="357"/>
      <c r="L80" s="357"/>
      <c r="M80" s="357"/>
    </row>
    <row r="81" spans="1:13" ht="119" customHeight="1" x14ac:dyDescent="0.3">
      <c r="A81" s="555">
        <v>7</v>
      </c>
      <c r="B81" s="568" t="s">
        <v>925</v>
      </c>
      <c r="C81" s="556" t="s">
        <v>921</v>
      </c>
      <c r="D81" s="557">
        <v>350000000</v>
      </c>
      <c r="E81" s="559"/>
      <c r="F81" s="564" t="s">
        <v>922</v>
      </c>
      <c r="G81" s="389" t="s">
        <v>926</v>
      </c>
      <c r="H81" s="559"/>
      <c r="I81" s="560">
        <v>0</v>
      </c>
      <c r="J81" s="597" t="s">
        <v>924</v>
      </c>
      <c r="K81" s="357"/>
      <c r="L81" s="357"/>
      <c r="M81" s="357"/>
    </row>
    <row r="82" spans="1:13" ht="116.5" customHeight="1" x14ac:dyDescent="0.3">
      <c r="A82" s="555">
        <v>10</v>
      </c>
      <c r="B82" s="568" t="s">
        <v>927</v>
      </c>
      <c r="C82" s="556" t="s">
        <v>928</v>
      </c>
      <c r="D82" s="557">
        <v>320000000</v>
      </c>
      <c r="E82" s="559"/>
      <c r="F82" s="564" t="s">
        <v>922</v>
      </c>
      <c r="G82" s="389" t="s">
        <v>926</v>
      </c>
      <c r="H82" s="559"/>
      <c r="I82" s="560">
        <v>0</v>
      </c>
      <c r="J82" s="597" t="s">
        <v>924</v>
      </c>
      <c r="K82" s="357"/>
      <c r="L82" s="357"/>
      <c r="M82" s="357"/>
    </row>
    <row r="83" spans="1:13" ht="101" customHeight="1" x14ac:dyDescent="0.3">
      <c r="A83" s="555">
        <v>11</v>
      </c>
      <c r="B83" s="568" t="s">
        <v>929</v>
      </c>
      <c r="C83" s="556" t="s">
        <v>928</v>
      </c>
      <c r="D83" s="557">
        <v>150000000</v>
      </c>
      <c r="E83" s="559"/>
      <c r="F83" s="564" t="s">
        <v>922</v>
      </c>
      <c r="G83" s="389" t="s">
        <v>926</v>
      </c>
      <c r="H83" s="559"/>
      <c r="I83" s="560">
        <v>0</v>
      </c>
      <c r="J83" s="597" t="s">
        <v>924</v>
      </c>
      <c r="K83" s="357"/>
      <c r="L83" s="357"/>
      <c r="M83" s="357"/>
    </row>
    <row r="84" spans="1:13" ht="101.5" customHeight="1" x14ac:dyDescent="0.3">
      <c r="A84" s="555">
        <v>13</v>
      </c>
      <c r="B84" s="568" t="s">
        <v>930</v>
      </c>
      <c r="C84" s="556" t="s">
        <v>931</v>
      </c>
      <c r="D84" s="557">
        <v>850000000</v>
      </c>
      <c r="E84" s="559"/>
      <c r="F84" s="564" t="s">
        <v>922</v>
      </c>
      <c r="G84" s="389" t="s">
        <v>932</v>
      </c>
      <c r="H84" s="559"/>
      <c r="I84" s="560">
        <v>0</v>
      </c>
      <c r="J84" s="597" t="s">
        <v>924</v>
      </c>
      <c r="K84" s="357"/>
      <c r="L84" s="357"/>
      <c r="M84" s="357"/>
    </row>
    <row r="85" spans="1:13" ht="177.65" customHeight="1" x14ac:dyDescent="0.3">
      <c r="A85" s="555">
        <v>15</v>
      </c>
      <c r="B85" s="568" t="s">
        <v>810</v>
      </c>
      <c r="C85" s="556" t="s">
        <v>933</v>
      </c>
      <c r="D85" s="557">
        <v>99815577</v>
      </c>
      <c r="E85" s="559"/>
      <c r="F85" s="564" t="s">
        <v>934</v>
      </c>
      <c r="G85" s="559" t="s">
        <v>899</v>
      </c>
      <c r="H85" s="559"/>
      <c r="I85" s="560"/>
      <c r="J85" s="596" t="s">
        <v>935</v>
      </c>
      <c r="K85" s="357"/>
      <c r="L85" s="357"/>
      <c r="M85" s="357"/>
    </row>
    <row r="86" spans="1:13" ht="93.65" customHeight="1" x14ac:dyDescent="0.3">
      <c r="A86" s="555">
        <v>16</v>
      </c>
      <c r="B86" s="568" t="s">
        <v>936</v>
      </c>
      <c r="C86" s="556" t="s">
        <v>937</v>
      </c>
      <c r="D86" s="557">
        <v>9932864</v>
      </c>
      <c r="E86" s="559"/>
      <c r="F86" s="564"/>
      <c r="G86" s="569">
        <v>2024</v>
      </c>
      <c r="H86" s="559"/>
      <c r="I86" s="560"/>
      <c r="J86" s="598" t="s">
        <v>938</v>
      </c>
      <c r="K86" s="357"/>
      <c r="L86" s="357"/>
      <c r="M86" s="357"/>
    </row>
    <row r="87" spans="1:13" ht="25.5" x14ac:dyDescent="0.3">
      <c r="A87" s="572">
        <v>17</v>
      </c>
      <c r="B87" s="573" t="s">
        <v>939</v>
      </c>
      <c r="C87" s="574" t="s">
        <v>940</v>
      </c>
      <c r="D87" s="575">
        <f>'Felhalmozási kiadások'!I19</f>
        <v>683100000</v>
      </c>
      <c r="E87" s="574">
        <v>0</v>
      </c>
      <c r="F87" s="573" t="s">
        <v>941</v>
      </c>
      <c r="G87" s="576" t="s">
        <v>899</v>
      </c>
      <c r="H87" s="574"/>
      <c r="I87" s="574"/>
      <c r="J87" s="573" t="s">
        <v>942</v>
      </c>
      <c r="K87" s="357"/>
      <c r="L87" s="357"/>
      <c r="M87" s="357"/>
    </row>
    <row r="88" spans="1:13" x14ac:dyDescent="0.25">
      <c r="B88" s="357"/>
      <c r="C88" s="357"/>
      <c r="D88" s="357"/>
      <c r="E88" s="357"/>
      <c r="F88" s="357"/>
      <c r="G88" s="357"/>
      <c r="H88" s="357"/>
      <c r="I88" s="357"/>
      <c r="J88" s="593"/>
      <c r="K88" s="357"/>
      <c r="L88" s="357"/>
      <c r="M88" s="357"/>
    </row>
    <row r="89" spans="1:13" x14ac:dyDescent="0.25">
      <c r="B89" s="357"/>
      <c r="C89" s="357"/>
      <c r="D89" s="357"/>
      <c r="E89" s="357"/>
      <c r="F89" s="357"/>
      <c r="G89" s="357"/>
      <c r="H89" s="357"/>
      <c r="I89" s="357"/>
      <c r="J89" s="593"/>
      <c r="K89" s="357"/>
      <c r="L89" s="357"/>
      <c r="M89" s="357"/>
    </row>
    <row r="90" spans="1:13" x14ac:dyDescent="0.25">
      <c r="B90" s="357"/>
      <c r="C90" s="357"/>
      <c r="D90" s="357"/>
      <c r="E90" s="357"/>
      <c r="F90" s="357"/>
      <c r="G90" s="357"/>
      <c r="H90" s="357"/>
      <c r="I90" s="357"/>
      <c r="J90" s="593"/>
      <c r="K90" s="357"/>
      <c r="L90" s="357"/>
      <c r="M90" s="357"/>
    </row>
    <row r="91" spans="1:13" x14ac:dyDescent="0.25">
      <c r="B91" s="357"/>
      <c r="C91" s="357"/>
      <c r="D91" s="357"/>
      <c r="E91" s="357"/>
      <c r="F91" s="357"/>
      <c r="G91" s="357"/>
      <c r="H91" s="357"/>
      <c r="I91" s="357"/>
      <c r="J91" s="593"/>
      <c r="K91" s="357"/>
      <c r="L91" s="357"/>
      <c r="M91" s="357"/>
    </row>
    <row r="92" spans="1:13" x14ac:dyDescent="0.25">
      <c r="B92" s="357"/>
      <c r="C92" s="357"/>
      <c r="D92" s="357"/>
      <c r="E92" s="357"/>
      <c r="F92" s="357"/>
      <c r="G92" s="357"/>
      <c r="H92" s="357"/>
      <c r="I92" s="357"/>
      <c r="J92" s="593"/>
      <c r="K92" s="357"/>
      <c r="L92" s="357"/>
      <c r="M92" s="357"/>
    </row>
    <row r="93" spans="1:13" x14ac:dyDescent="0.25">
      <c r="B93" s="357"/>
      <c r="C93" s="357"/>
      <c r="D93" s="357"/>
      <c r="E93" s="357"/>
      <c r="F93" s="357"/>
      <c r="G93" s="357"/>
      <c r="H93" s="357"/>
      <c r="I93" s="357"/>
      <c r="J93" s="593"/>
      <c r="K93" s="357"/>
      <c r="L93" s="357"/>
      <c r="M93" s="357"/>
    </row>
    <row r="94" spans="1:13" x14ac:dyDescent="0.25">
      <c r="B94" s="357"/>
      <c r="C94" s="357"/>
      <c r="D94" s="357"/>
      <c r="E94" s="357"/>
      <c r="F94" s="357"/>
      <c r="G94" s="357"/>
      <c r="H94" s="357"/>
      <c r="I94" s="357"/>
      <c r="J94" s="593"/>
      <c r="K94" s="357"/>
      <c r="L94" s="357"/>
      <c r="M94" s="357"/>
    </row>
    <row r="95" spans="1:13" x14ac:dyDescent="0.25">
      <c r="B95" s="357"/>
      <c r="C95" s="357"/>
      <c r="D95" s="357"/>
      <c r="E95" s="357"/>
      <c r="F95" s="357"/>
      <c r="G95" s="357"/>
      <c r="H95" s="357"/>
      <c r="I95" s="357"/>
      <c r="J95" s="593"/>
      <c r="K95" s="357"/>
      <c r="L95" s="357"/>
      <c r="M95" s="357"/>
    </row>
    <row r="96" spans="1:13" x14ac:dyDescent="0.25">
      <c r="B96" s="357"/>
      <c r="C96" s="357"/>
      <c r="D96" s="357"/>
      <c r="E96" s="357"/>
      <c r="F96" s="357"/>
      <c r="G96" s="357"/>
      <c r="H96" s="357"/>
      <c r="I96" s="357"/>
      <c r="J96" s="593"/>
      <c r="K96" s="357"/>
      <c r="L96" s="357"/>
      <c r="M96" s="357"/>
    </row>
    <row r="97" spans="2:13" x14ac:dyDescent="0.25">
      <c r="B97" s="357"/>
      <c r="C97" s="357"/>
      <c r="D97" s="357"/>
      <c r="E97" s="357"/>
      <c r="F97" s="357"/>
      <c r="G97" s="357"/>
      <c r="H97" s="357"/>
      <c r="I97" s="357"/>
      <c r="J97" s="593"/>
      <c r="K97" s="357"/>
      <c r="L97" s="357"/>
      <c r="M97" s="357"/>
    </row>
    <row r="98" spans="2:13" x14ac:dyDescent="0.25">
      <c r="B98" s="357"/>
      <c r="C98" s="357"/>
      <c r="D98" s="357"/>
      <c r="E98" s="357"/>
      <c r="F98" s="357"/>
      <c r="G98" s="357"/>
      <c r="H98" s="357"/>
      <c r="I98" s="357"/>
      <c r="J98" s="593"/>
      <c r="K98" s="357"/>
      <c r="L98" s="357"/>
      <c r="M98" s="357"/>
    </row>
    <row r="99" spans="2:13" x14ac:dyDescent="0.25">
      <c r="B99" s="357"/>
      <c r="C99" s="357"/>
      <c r="D99" s="357"/>
      <c r="E99" s="357"/>
      <c r="F99" s="357"/>
      <c r="G99" s="357"/>
      <c r="H99" s="357"/>
      <c r="I99" s="357"/>
      <c r="J99" s="593"/>
      <c r="K99" s="357"/>
      <c r="L99" s="357"/>
      <c r="M99" s="357"/>
    </row>
    <row r="100" spans="2:13" x14ac:dyDescent="0.25">
      <c r="B100" s="357"/>
      <c r="C100" s="357"/>
      <c r="D100" s="357"/>
      <c r="E100" s="357"/>
      <c r="F100" s="357"/>
      <c r="G100" s="357"/>
      <c r="H100" s="357"/>
      <c r="I100" s="357"/>
      <c r="J100" s="593"/>
      <c r="K100" s="357"/>
      <c r="L100" s="357"/>
      <c r="M100" s="357"/>
    </row>
    <row r="101" spans="2:13" x14ac:dyDescent="0.25">
      <c r="B101" s="357"/>
      <c r="C101" s="357"/>
      <c r="D101" s="357"/>
      <c r="E101" s="357"/>
      <c r="F101" s="357"/>
      <c r="G101" s="357"/>
      <c r="H101" s="357"/>
      <c r="I101" s="357"/>
      <c r="J101" s="593"/>
      <c r="K101" s="357"/>
      <c r="L101" s="357"/>
      <c r="M101" s="357"/>
    </row>
    <row r="102" spans="2:13" x14ac:dyDescent="0.25">
      <c r="B102" s="357"/>
      <c r="C102" s="357"/>
      <c r="D102" s="357"/>
      <c r="E102" s="357"/>
      <c r="F102" s="357"/>
      <c r="G102" s="357"/>
      <c r="H102" s="357"/>
      <c r="I102" s="357"/>
      <c r="J102" s="593"/>
      <c r="K102" s="357"/>
      <c r="L102" s="357"/>
      <c r="M102" s="357"/>
    </row>
    <row r="103" spans="2:13" x14ac:dyDescent="0.25">
      <c r="B103" s="357"/>
      <c r="C103" s="357"/>
      <c r="D103" s="357"/>
      <c r="E103" s="357"/>
      <c r="F103" s="357"/>
      <c r="G103" s="357"/>
      <c r="H103" s="357"/>
      <c r="I103" s="357"/>
      <c r="J103" s="593"/>
      <c r="K103" s="357"/>
      <c r="L103" s="357"/>
      <c r="M103" s="357"/>
    </row>
    <row r="104" spans="2:13" x14ac:dyDescent="0.25">
      <c r="B104" s="357"/>
      <c r="C104" s="357"/>
      <c r="D104" s="357"/>
      <c r="E104" s="357"/>
      <c r="F104" s="357"/>
      <c r="G104" s="357"/>
      <c r="H104" s="357"/>
      <c r="I104" s="357"/>
      <c r="J104" s="593"/>
      <c r="K104" s="357"/>
      <c r="L104" s="357"/>
      <c r="M104" s="357"/>
    </row>
    <row r="105" spans="2:13" x14ac:dyDescent="0.25">
      <c r="B105" s="357"/>
      <c r="C105" s="357"/>
      <c r="D105" s="357"/>
      <c r="E105" s="357"/>
      <c r="F105" s="357"/>
      <c r="G105" s="357"/>
      <c r="H105" s="357"/>
      <c r="I105" s="357"/>
      <c r="J105" s="593"/>
      <c r="K105" s="357"/>
      <c r="L105" s="357"/>
      <c r="M105" s="357"/>
    </row>
    <row r="106" spans="2:13" x14ac:dyDescent="0.25">
      <c r="B106" s="357"/>
      <c r="C106" s="357"/>
      <c r="D106" s="357"/>
      <c r="E106" s="357"/>
      <c r="F106" s="357"/>
      <c r="G106" s="357"/>
      <c r="H106" s="357"/>
      <c r="I106" s="357"/>
      <c r="J106" s="593"/>
      <c r="K106" s="357"/>
      <c r="L106" s="357"/>
      <c r="M106" s="357"/>
    </row>
    <row r="107" spans="2:13" x14ac:dyDescent="0.25">
      <c r="B107" s="357"/>
      <c r="C107" s="357"/>
      <c r="D107" s="357"/>
      <c r="E107" s="357"/>
      <c r="F107" s="357"/>
      <c r="G107" s="357"/>
      <c r="H107" s="357"/>
      <c r="I107" s="357"/>
      <c r="J107" s="593"/>
      <c r="K107" s="357"/>
      <c r="L107" s="357"/>
      <c r="M107" s="357"/>
    </row>
    <row r="108" spans="2:13" x14ac:dyDescent="0.25">
      <c r="B108" s="357"/>
      <c r="C108" s="357"/>
      <c r="D108" s="357"/>
      <c r="E108" s="357"/>
      <c r="F108" s="357"/>
      <c r="G108" s="357"/>
      <c r="H108" s="357"/>
      <c r="I108" s="357"/>
      <c r="J108" s="593"/>
      <c r="K108" s="357"/>
      <c r="L108" s="357"/>
      <c r="M108" s="357"/>
    </row>
    <row r="109" spans="2:13" x14ac:dyDescent="0.25">
      <c r="B109" s="357"/>
      <c r="C109" s="357"/>
      <c r="D109" s="357"/>
      <c r="E109" s="357"/>
      <c r="F109" s="357"/>
      <c r="G109" s="357"/>
      <c r="H109" s="357"/>
      <c r="I109" s="357"/>
      <c r="J109" s="593"/>
      <c r="K109" s="357"/>
      <c r="L109" s="357"/>
      <c r="M109" s="357"/>
    </row>
    <row r="110" spans="2:13" x14ac:dyDescent="0.25">
      <c r="B110" s="357"/>
      <c r="C110" s="357"/>
      <c r="D110" s="357"/>
      <c r="E110" s="357"/>
      <c r="F110" s="357"/>
      <c r="G110" s="357"/>
      <c r="H110" s="357"/>
      <c r="I110" s="357"/>
      <c r="J110" s="593"/>
      <c r="K110" s="357"/>
      <c r="L110" s="357"/>
      <c r="M110" s="357"/>
    </row>
    <row r="111" spans="2:13" x14ac:dyDescent="0.25">
      <c r="B111" s="357"/>
      <c r="C111" s="357"/>
      <c r="D111" s="357"/>
      <c r="E111" s="357"/>
      <c r="F111" s="357"/>
      <c r="G111" s="357"/>
      <c r="H111" s="357"/>
      <c r="I111" s="357"/>
      <c r="J111" s="593"/>
      <c r="K111" s="357"/>
      <c r="L111" s="357"/>
      <c r="M111" s="357"/>
    </row>
    <row r="112" spans="2:13" x14ac:dyDescent="0.25">
      <c r="B112" s="357"/>
      <c r="C112" s="357"/>
      <c r="D112" s="357"/>
      <c r="E112" s="357"/>
      <c r="F112" s="357"/>
      <c r="G112" s="357"/>
      <c r="H112" s="357"/>
      <c r="I112" s="357"/>
      <c r="J112" s="593"/>
      <c r="K112" s="357"/>
      <c r="L112" s="357"/>
      <c r="M112" s="357"/>
    </row>
    <row r="113" spans="1:24" x14ac:dyDescent="0.25">
      <c r="B113" s="357"/>
      <c r="C113" s="357"/>
      <c r="D113" s="357"/>
      <c r="E113" s="357"/>
      <c r="F113" s="357"/>
      <c r="G113" s="357"/>
      <c r="H113" s="357"/>
      <c r="I113" s="357"/>
      <c r="J113" s="593"/>
      <c r="K113" s="357"/>
      <c r="L113" s="357"/>
      <c r="M113" s="357"/>
    </row>
    <row r="114" spans="1:24" x14ac:dyDescent="0.25">
      <c r="B114" s="357"/>
      <c r="C114" s="357"/>
      <c r="D114" s="357"/>
      <c r="E114" s="357"/>
      <c r="F114" s="357"/>
      <c r="G114" s="357"/>
      <c r="H114" s="357"/>
      <c r="I114" s="357"/>
      <c r="J114" s="593"/>
      <c r="K114" s="357"/>
      <c r="L114" s="357"/>
      <c r="M114" s="357"/>
    </row>
    <row r="115" spans="1:24" x14ac:dyDescent="0.25">
      <c r="B115" s="357"/>
      <c r="C115" s="357"/>
      <c r="D115" s="357"/>
      <c r="E115" s="357"/>
      <c r="F115" s="357"/>
      <c r="G115" s="357"/>
      <c r="H115" s="357"/>
      <c r="I115" s="357"/>
      <c r="J115" s="593"/>
      <c r="K115" s="357"/>
      <c r="L115" s="357"/>
      <c r="M115" s="357"/>
    </row>
    <row r="116" spans="1:24" x14ac:dyDescent="0.25">
      <c r="B116" s="357"/>
      <c r="C116" s="357"/>
      <c r="D116" s="357"/>
      <c r="E116" s="357"/>
      <c r="F116" s="357"/>
      <c r="G116" s="357"/>
      <c r="H116" s="357"/>
      <c r="I116" s="357"/>
      <c r="J116" s="593"/>
      <c r="K116" s="357"/>
      <c r="L116" s="357"/>
      <c r="M116" s="357"/>
    </row>
    <row r="117" spans="1:24" x14ac:dyDescent="0.25">
      <c r="B117" s="357"/>
      <c r="C117" s="357"/>
      <c r="D117" s="357"/>
      <c r="E117" s="357"/>
      <c r="F117" s="357"/>
      <c r="G117" s="357"/>
      <c r="H117" s="357"/>
      <c r="I117" s="357"/>
      <c r="J117" s="593"/>
      <c r="K117" s="357"/>
      <c r="L117" s="357"/>
      <c r="M117" s="357"/>
    </row>
    <row r="118" spans="1:24" x14ac:dyDescent="0.25">
      <c r="B118" s="357"/>
      <c r="C118" s="357"/>
      <c r="D118" s="357"/>
      <c r="E118" s="357"/>
      <c r="F118" s="357"/>
      <c r="G118" s="357"/>
      <c r="H118" s="357"/>
      <c r="I118" s="357"/>
      <c r="J118" s="593"/>
      <c r="K118" s="357"/>
      <c r="L118" s="357"/>
      <c r="M118" s="357"/>
    </row>
    <row r="119" spans="1:24" x14ac:dyDescent="0.25">
      <c r="B119" s="357"/>
      <c r="C119" s="357"/>
      <c r="D119" s="357"/>
      <c r="E119" s="357"/>
      <c r="F119" s="357"/>
      <c r="G119" s="357"/>
      <c r="H119" s="357"/>
      <c r="I119" s="357"/>
      <c r="J119" s="593"/>
      <c r="K119" s="357"/>
      <c r="L119" s="357"/>
      <c r="M119" s="357"/>
    </row>
    <row r="120" spans="1:24" x14ac:dyDescent="0.25">
      <c r="B120" s="357"/>
      <c r="C120" s="357"/>
      <c r="D120" s="357"/>
      <c r="E120" s="357"/>
      <c r="F120" s="357"/>
      <c r="G120" s="357"/>
      <c r="H120" s="357"/>
      <c r="I120" s="357"/>
      <c r="J120" s="593"/>
      <c r="K120" s="357"/>
      <c r="L120" s="357"/>
      <c r="M120" s="357"/>
    </row>
    <row r="121" spans="1:24" x14ac:dyDescent="0.25">
      <c r="A121" s="209"/>
      <c r="B121" s="357"/>
      <c r="C121" s="357"/>
      <c r="D121" s="357"/>
      <c r="E121" s="357"/>
      <c r="F121" s="357"/>
      <c r="G121" s="357"/>
      <c r="H121" s="357"/>
      <c r="I121" s="357"/>
      <c r="J121" s="593"/>
      <c r="K121" s="357"/>
      <c r="L121" s="357"/>
      <c r="M121" s="357"/>
      <c r="N121" s="209"/>
      <c r="O121" s="209"/>
      <c r="P121" s="209"/>
      <c r="Q121" s="209"/>
      <c r="R121" s="209"/>
      <c r="S121" s="209"/>
      <c r="T121" s="209"/>
      <c r="U121" s="209"/>
      <c r="V121" s="209"/>
      <c r="W121" s="209"/>
      <c r="X121" s="209"/>
    </row>
    <row r="122" spans="1:24" x14ac:dyDescent="0.25">
      <c r="A122" s="209"/>
      <c r="B122" s="357"/>
      <c r="C122" s="357"/>
      <c r="D122" s="357"/>
      <c r="E122" s="357"/>
      <c r="F122" s="357"/>
      <c r="G122" s="357"/>
      <c r="H122" s="357"/>
      <c r="I122" s="357"/>
      <c r="J122" s="593"/>
      <c r="K122" s="357"/>
      <c r="L122" s="357"/>
      <c r="M122" s="357"/>
      <c r="N122" s="209"/>
      <c r="O122" s="209"/>
      <c r="P122" s="209"/>
      <c r="Q122" s="209"/>
      <c r="R122" s="209"/>
      <c r="S122" s="209"/>
      <c r="T122" s="209"/>
      <c r="U122" s="209"/>
      <c r="V122" s="209"/>
      <c r="W122" s="209"/>
      <c r="X122" s="209"/>
    </row>
    <row r="123" spans="1:24" x14ac:dyDescent="0.25">
      <c r="A123" s="209"/>
      <c r="B123" s="357"/>
      <c r="C123" s="357"/>
      <c r="D123" s="357"/>
      <c r="E123" s="357"/>
      <c r="F123" s="357"/>
      <c r="G123" s="357"/>
      <c r="H123" s="357"/>
      <c r="I123" s="357"/>
      <c r="J123" s="593"/>
      <c r="K123" s="357"/>
      <c r="L123" s="357"/>
      <c r="M123" s="357"/>
      <c r="N123" s="209"/>
      <c r="O123" s="209"/>
      <c r="P123" s="209"/>
      <c r="Q123" s="209"/>
      <c r="R123" s="209"/>
      <c r="S123" s="209"/>
      <c r="T123" s="209"/>
      <c r="U123" s="209"/>
      <c r="V123" s="209"/>
      <c r="W123" s="209"/>
      <c r="X123" s="209"/>
    </row>
    <row r="124" spans="1:24" x14ac:dyDescent="0.25">
      <c r="A124" s="209"/>
      <c r="B124" s="357"/>
      <c r="C124" s="357"/>
      <c r="D124" s="357"/>
      <c r="E124" s="357"/>
      <c r="F124" s="357"/>
      <c r="G124" s="357"/>
      <c r="H124" s="357"/>
      <c r="I124" s="357"/>
      <c r="J124" s="593"/>
      <c r="K124" s="357"/>
      <c r="L124" s="357"/>
      <c r="M124" s="357"/>
      <c r="N124" s="209"/>
      <c r="O124" s="209"/>
      <c r="P124" s="209"/>
      <c r="Q124" s="209"/>
      <c r="R124" s="209"/>
      <c r="S124" s="209"/>
      <c r="T124" s="209"/>
      <c r="U124" s="209"/>
      <c r="V124" s="209"/>
      <c r="W124" s="209"/>
      <c r="X124" s="209"/>
    </row>
    <row r="125" spans="1:24" x14ac:dyDescent="0.25">
      <c r="A125" s="209"/>
      <c r="B125" s="357"/>
      <c r="C125" s="357"/>
      <c r="D125" s="357"/>
      <c r="E125" s="357"/>
      <c r="F125" s="357"/>
      <c r="G125" s="357"/>
      <c r="H125" s="357"/>
      <c r="I125" s="357"/>
      <c r="J125" s="593"/>
      <c r="K125" s="357"/>
      <c r="L125" s="357"/>
      <c r="M125" s="357"/>
      <c r="N125" s="209"/>
      <c r="O125" s="209"/>
      <c r="P125" s="209"/>
      <c r="Q125" s="209"/>
      <c r="R125" s="209"/>
      <c r="S125" s="209"/>
      <c r="T125" s="209"/>
      <c r="U125" s="209"/>
      <c r="V125" s="209"/>
      <c r="W125" s="209"/>
      <c r="X125" s="209"/>
    </row>
    <row r="126" spans="1:24" x14ac:dyDescent="0.25">
      <c r="A126" s="209"/>
      <c r="B126" s="357"/>
      <c r="C126" s="357"/>
      <c r="D126" s="357"/>
      <c r="E126" s="357"/>
      <c r="F126" s="357"/>
      <c r="G126" s="357"/>
      <c r="H126" s="357"/>
      <c r="I126" s="357"/>
      <c r="J126" s="593"/>
      <c r="K126" s="357"/>
      <c r="L126" s="357"/>
      <c r="M126" s="357"/>
      <c r="N126" s="209"/>
      <c r="O126" s="209"/>
      <c r="P126" s="209"/>
      <c r="Q126" s="209"/>
      <c r="R126" s="209"/>
      <c r="S126" s="209"/>
      <c r="T126" s="209"/>
      <c r="U126" s="209"/>
      <c r="V126" s="209"/>
      <c r="W126" s="209"/>
      <c r="X126" s="209"/>
    </row>
    <row r="127" spans="1:24" x14ac:dyDescent="0.25">
      <c r="A127" s="209"/>
      <c r="B127" s="357"/>
      <c r="C127" s="357"/>
      <c r="D127" s="357"/>
      <c r="E127" s="357"/>
      <c r="F127" s="357"/>
      <c r="G127" s="357"/>
      <c r="H127" s="357"/>
      <c r="I127" s="357"/>
      <c r="J127" s="593"/>
      <c r="K127" s="357"/>
      <c r="L127" s="357"/>
      <c r="M127" s="357"/>
      <c r="N127" s="209"/>
      <c r="O127" s="209"/>
      <c r="P127" s="209"/>
      <c r="Q127" s="209"/>
      <c r="R127" s="209"/>
      <c r="S127" s="209"/>
      <c r="T127" s="209"/>
      <c r="U127" s="209"/>
      <c r="V127" s="209"/>
      <c r="W127" s="209"/>
      <c r="X127" s="209"/>
    </row>
    <row r="128" spans="1:24" x14ac:dyDescent="0.25">
      <c r="A128" s="209"/>
      <c r="B128" s="357"/>
      <c r="C128" s="357"/>
      <c r="D128" s="357"/>
      <c r="E128" s="357"/>
      <c r="F128" s="357"/>
      <c r="G128" s="357"/>
      <c r="H128" s="357"/>
      <c r="I128" s="357"/>
      <c r="J128" s="593"/>
      <c r="K128" s="357"/>
      <c r="L128" s="357"/>
      <c r="M128" s="357"/>
      <c r="N128" s="209"/>
      <c r="O128" s="209"/>
      <c r="P128" s="209"/>
      <c r="Q128" s="209"/>
      <c r="R128" s="209"/>
      <c r="S128" s="209"/>
      <c r="T128" s="209"/>
      <c r="U128" s="209"/>
      <c r="V128" s="209"/>
      <c r="W128" s="209"/>
      <c r="X128" s="209"/>
    </row>
    <row r="129" spans="1:24" x14ac:dyDescent="0.25">
      <c r="A129" s="209"/>
      <c r="B129" s="357"/>
      <c r="C129" s="357"/>
      <c r="D129" s="357"/>
      <c r="E129" s="357"/>
      <c r="F129" s="357"/>
      <c r="G129" s="357"/>
      <c r="H129" s="357"/>
      <c r="I129" s="357"/>
      <c r="J129" s="593"/>
      <c r="K129" s="357"/>
      <c r="L129" s="357"/>
      <c r="M129" s="357"/>
      <c r="N129" s="209"/>
      <c r="O129" s="209"/>
      <c r="P129" s="209"/>
      <c r="Q129" s="209"/>
      <c r="R129" s="209"/>
      <c r="S129" s="209"/>
      <c r="T129" s="209"/>
      <c r="U129" s="209"/>
      <c r="V129" s="209"/>
      <c r="W129" s="209"/>
      <c r="X129" s="209"/>
    </row>
    <row r="130" spans="1:24" x14ac:dyDescent="0.25">
      <c r="A130" s="209"/>
      <c r="B130" s="357"/>
      <c r="C130" s="357"/>
      <c r="D130" s="357"/>
      <c r="E130" s="357"/>
      <c r="F130" s="357"/>
      <c r="G130" s="357"/>
      <c r="H130" s="357"/>
      <c r="I130" s="357"/>
      <c r="J130" s="593"/>
      <c r="K130" s="357"/>
      <c r="L130" s="357"/>
      <c r="M130" s="357"/>
      <c r="N130" s="209"/>
      <c r="O130" s="209"/>
      <c r="P130" s="209"/>
      <c r="Q130" s="209"/>
      <c r="R130" s="209"/>
      <c r="S130" s="209"/>
      <c r="T130" s="209"/>
      <c r="U130" s="209"/>
      <c r="V130" s="209"/>
      <c r="W130" s="209"/>
      <c r="X130" s="209"/>
    </row>
    <row r="131" spans="1:24" x14ac:dyDescent="0.25">
      <c r="A131" s="209"/>
      <c r="B131" s="357"/>
      <c r="C131" s="357"/>
      <c r="D131" s="357"/>
      <c r="E131" s="357"/>
      <c r="F131" s="357"/>
      <c r="G131" s="357"/>
      <c r="H131" s="357"/>
      <c r="I131" s="357"/>
      <c r="J131" s="593"/>
      <c r="K131" s="357"/>
      <c r="L131" s="357"/>
      <c r="M131" s="357"/>
      <c r="N131" s="209"/>
      <c r="O131" s="209"/>
      <c r="P131" s="209"/>
      <c r="Q131" s="209"/>
      <c r="R131" s="209"/>
      <c r="S131" s="209"/>
      <c r="T131" s="209"/>
      <c r="U131" s="209"/>
      <c r="V131" s="209"/>
      <c r="W131" s="209"/>
      <c r="X131" s="209"/>
    </row>
    <row r="132" spans="1:24" x14ac:dyDescent="0.25">
      <c r="A132" s="209"/>
      <c r="B132" s="357"/>
      <c r="C132" s="357"/>
      <c r="D132" s="357"/>
      <c r="E132" s="357"/>
      <c r="F132" s="357"/>
      <c r="G132" s="357"/>
      <c r="H132" s="357"/>
      <c r="I132" s="357"/>
      <c r="J132" s="593"/>
      <c r="K132" s="357"/>
      <c r="L132" s="357"/>
      <c r="M132" s="357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</row>
    <row r="133" spans="1:24" x14ac:dyDescent="0.25">
      <c r="A133" s="209"/>
      <c r="B133" s="357"/>
      <c r="C133" s="357"/>
      <c r="D133" s="357"/>
      <c r="E133" s="357"/>
      <c r="F133" s="357"/>
      <c r="G133" s="357"/>
      <c r="H133" s="357"/>
      <c r="I133" s="357"/>
      <c r="J133" s="593"/>
      <c r="K133" s="357"/>
      <c r="L133" s="357"/>
      <c r="M133" s="357"/>
      <c r="N133" s="209"/>
      <c r="O133" s="209"/>
      <c r="P133" s="209"/>
      <c r="Q133" s="209"/>
      <c r="R133" s="209"/>
      <c r="S133" s="209"/>
      <c r="T133" s="209"/>
      <c r="U133" s="209"/>
      <c r="V133" s="209"/>
      <c r="W133" s="209"/>
      <c r="X133" s="209"/>
    </row>
    <row r="134" spans="1:24" x14ac:dyDescent="0.25">
      <c r="A134" s="209"/>
      <c r="B134" s="357"/>
      <c r="C134" s="357"/>
      <c r="D134" s="357"/>
      <c r="E134" s="357"/>
      <c r="F134" s="357"/>
      <c r="G134" s="357"/>
      <c r="H134" s="357"/>
      <c r="I134" s="357"/>
      <c r="J134" s="593"/>
      <c r="K134" s="357"/>
      <c r="L134" s="357"/>
      <c r="M134" s="357"/>
      <c r="N134" s="209"/>
      <c r="O134" s="209"/>
      <c r="P134" s="209"/>
      <c r="Q134" s="209"/>
      <c r="R134" s="209"/>
      <c r="S134" s="209"/>
      <c r="T134" s="209"/>
      <c r="U134" s="209"/>
      <c r="V134" s="209"/>
      <c r="W134" s="209"/>
      <c r="X134" s="209"/>
    </row>
    <row r="135" spans="1:24" x14ac:dyDescent="0.25">
      <c r="A135" s="209"/>
      <c r="B135" s="357"/>
      <c r="C135" s="357"/>
      <c r="D135" s="357"/>
      <c r="E135" s="357"/>
      <c r="F135" s="357"/>
      <c r="G135" s="357"/>
      <c r="H135" s="357"/>
      <c r="I135" s="357"/>
      <c r="J135" s="593"/>
      <c r="K135" s="357"/>
      <c r="L135" s="357"/>
      <c r="M135" s="357"/>
      <c r="N135" s="209"/>
      <c r="O135" s="209"/>
      <c r="P135" s="209"/>
      <c r="Q135" s="209"/>
      <c r="R135" s="209"/>
      <c r="S135" s="209"/>
      <c r="T135" s="209"/>
      <c r="U135" s="209"/>
      <c r="V135" s="209"/>
      <c r="W135" s="209"/>
      <c r="X135" s="209"/>
    </row>
    <row r="136" spans="1:24" x14ac:dyDescent="0.25">
      <c r="A136" s="209"/>
      <c r="B136" s="357"/>
      <c r="C136" s="357"/>
      <c r="D136" s="357"/>
      <c r="E136" s="357"/>
      <c r="F136" s="357"/>
      <c r="G136" s="357"/>
      <c r="H136" s="357"/>
      <c r="I136" s="357"/>
      <c r="J136" s="593"/>
      <c r="K136" s="357"/>
      <c r="L136" s="357"/>
      <c r="M136" s="357"/>
      <c r="N136" s="209"/>
      <c r="O136" s="209"/>
      <c r="P136" s="209"/>
      <c r="Q136" s="209"/>
      <c r="R136" s="209"/>
      <c r="S136" s="209"/>
      <c r="T136" s="209"/>
      <c r="U136" s="209"/>
      <c r="V136" s="209"/>
      <c r="W136" s="209"/>
      <c r="X136" s="209"/>
    </row>
    <row r="137" spans="1:24" x14ac:dyDescent="0.25">
      <c r="A137" s="209"/>
      <c r="B137" s="357"/>
      <c r="C137" s="357"/>
      <c r="D137" s="357"/>
      <c r="E137" s="357"/>
      <c r="F137" s="357"/>
      <c r="G137" s="357"/>
      <c r="H137" s="357"/>
      <c r="I137" s="357"/>
      <c r="J137" s="593"/>
      <c r="K137" s="357"/>
      <c r="L137" s="357"/>
      <c r="M137" s="357"/>
      <c r="N137" s="209"/>
      <c r="O137" s="209"/>
      <c r="P137" s="209"/>
      <c r="Q137" s="209"/>
      <c r="R137" s="209"/>
      <c r="S137" s="209"/>
      <c r="T137" s="209"/>
      <c r="U137" s="209"/>
      <c r="V137" s="209"/>
      <c r="W137" s="209"/>
      <c r="X137" s="209"/>
    </row>
    <row r="138" spans="1:24" x14ac:dyDescent="0.25">
      <c r="A138" s="209"/>
      <c r="B138" s="357"/>
      <c r="C138" s="357"/>
      <c r="D138" s="357"/>
      <c r="E138" s="357"/>
      <c r="F138" s="357"/>
      <c r="G138" s="357"/>
      <c r="H138" s="357"/>
      <c r="I138" s="357"/>
      <c r="J138" s="593"/>
      <c r="K138" s="357"/>
      <c r="L138" s="357"/>
      <c r="M138" s="357"/>
      <c r="N138" s="209"/>
      <c r="O138" s="209"/>
      <c r="P138" s="209"/>
      <c r="Q138" s="209"/>
      <c r="R138" s="209"/>
      <c r="S138" s="209"/>
      <c r="T138" s="209"/>
      <c r="U138" s="209"/>
      <c r="V138" s="209"/>
      <c r="W138" s="209"/>
      <c r="X138" s="209"/>
    </row>
    <row r="139" spans="1:24" x14ac:dyDescent="0.25">
      <c r="A139" s="209"/>
      <c r="B139" s="357"/>
      <c r="C139" s="357"/>
      <c r="D139" s="357"/>
      <c r="E139" s="357"/>
      <c r="F139" s="357"/>
      <c r="G139" s="357"/>
      <c r="H139" s="357"/>
      <c r="I139" s="357"/>
      <c r="J139" s="593"/>
      <c r="K139" s="357"/>
      <c r="L139" s="357"/>
      <c r="M139" s="357"/>
      <c r="N139" s="209"/>
      <c r="O139" s="209"/>
      <c r="P139" s="209"/>
      <c r="Q139" s="209"/>
      <c r="R139" s="209"/>
      <c r="S139" s="209"/>
      <c r="T139" s="209"/>
      <c r="U139" s="209"/>
      <c r="V139" s="209"/>
      <c r="W139" s="209"/>
      <c r="X139" s="209"/>
    </row>
    <row r="140" spans="1:24" x14ac:dyDescent="0.25">
      <c r="A140" s="209"/>
      <c r="B140" s="357"/>
      <c r="C140" s="357"/>
      <c r="D140" s="357"/>
      <c r="E140" s="357"/>
      <c r="F140" s="357"/>
      <c r="G140" s="357"/>
      <c r="H140" s="357"/>
      <c r="I140" s="357"/>
      <c r="J140" s="593"/>
      <c r="K140" s="357"/>
      <c r="L140" s="357"/>
      <c r="M140" s="357"/>
      <c r="N140" s="209"/>
      <c r="O140" s="209"/>
      <c r="P140" s="209"/>
      <c r="Q140" s="209"/>
      <c r="R140" s="209"/>
      <c r="S140" s="209"/>
      <c r="T140" s="209"/>
      <c r="U140" s="209"/>
      <c r="V140" s="209"/>
      <c r="W140" s="209"/>
      <c r="X140" s="209"/>
    </row>
    <row r="141" spans="1:24" x14ac:dyDescent="0.25">
      <c r="A141" s="209"/>
      <c r="B141" s="357"/>
      <c r="C141" s="357"/>
      <c r="D141" s="357"/>
      <c r="E141" s="357"/>
      <c r="F141" s="357"/>
      <c r="G141" s="357"/>
      <c r="H141" s="357"/>
      <c r="I141" s="357"/>
      <c r="J141" s="593"/>
      <c r="K141" s="357"/>
      <c r="L141" s="357"/>
      <c r="M141" s="357"/>
      <c r="N141" s="209"/>
      <c r="O141" s="209"/>
      <c r="P141" s="209"/>
      <c r="Q141" s="209"/>
      <c r="R141" s="209"/>
      <c r="S141" s="209"/>
      <c r="T141" s="209"/>
      <c r="U141" s="209"/>
      <c r="V141" s="209"/>
      <c r="W141" s="209"/>
      <c r="X141" s="209"/>
    </row>
    <row r="142" spans="1:24" x14ac:dyDescent="0.25">
      <c r="A142" s="209"/>
      <c r="B142" s="357"/>
      <c r="C142" s="357"/>
      <c r="D142" s="357"/>
      <c r="E142" s="357"/>
      <c r="F142" s="357"/>
      <c r="G142" s="357"/>
      <c r="H142" s="357"/>
      <c r="I142" s="357"/>
      <c r="J142" s="593"/>
      <c r="K142" s="357"/>
      <c r="L142" s="357"/>
      <c r="M142" s="357"/>
      <c r="N142" s="209"/>
      <c r="O142" s="209"/>
      <c r="P142" s="209"/>
      <c r="Q142" s="209"/>
      <c r="R142" s="209"/>
      <c r="S142" s="209"/>
      <c r="T142" s="209"/>
      <c r="U142" s="209"/>
      <c r="V142" s="209"/>
      <c r="W142" s="209"/>
      <c r="X142" s="209"/>
    </row>
    <row r="143" spans="1:24" x14ac:dyDescent="0.25">
      <c r="A143" s="209"/>
      <c r="B143" s="357"/>
      <c r="C143" s="357"/>
      <c r="D143" s="357"/>
      <c r="E143" s="357"/>
      <c r="F143" s="357"/>
      <c r="G143" s="357"/>
      <c r="H143" s="357"/>
      <c r="I143" s="357"/>
      <c r="J143" s="593"/>
      <c r="K143" s="357"/>
      <c r="L143" s="357"/>
      <c r="M143" s="357"/>
      <c r="N143" s="209"/>
      <c r="O143" s="209"/>
      <c r="P143" s="209"/>
      <c r="Q143" s="209"/>
      <c r="R143" s="209"/>
      <c r="S143" s="209"/>
      <c r="T143" s="209"/>
      <c r="U143" s="209"/>
      <c r="V143" s="209"/>
      <c r="W143" s="209"/>
      <c r="X143" s="209"/>
    </row>
    <row r="144" spans="1:24" x14ac:dyDescent="0.25">
      <c r="A144" s="209"/>
      <c r="B144" s="357"/>
      <c r="C144" s="357"/>
      <c r="D144" s="357"/>
      <c r="E144" s="357"/>
      <c r="F144" s="357"/>
      <c r="G144" s="357"/>
      <c r="H144" s="357"/>
      <c r="I144" s="357"/>
      <c r="J144" s="593"/>
      <c r="K144" s="357"/>
      <c r="L144" s="357"/>
      <c r="M144" s="357"/>
      <c r="N144" s="209"/>
      <c r="O144" s="209"/>
      <c r="P144" s="209"/>
      <c r="Q144" s="209"/>
      <c r="R144" s="209"/>
      <c r="S144" s="209"/>
      <c r="T144" s="209"/>
      <c r="U144" s="209"/>
      <c r="V144" s="209"/>
      <c r="W144" s="209"/>
      <c r="X144" s="209"/>
    </row>
    <row r="145" spans="1:24" x14ac:dyDescent="0.25">
      <c r="A145" s="209"/>
      <c r="B145" s="357"/>
      <c r="C145" s="357"/>
      <c r="D145" s="357"/>
      <c r="E145" s="357"/>
      <c r="F145" s="357"/>
      <c r="G145" s="357"/>
      <c r="H145" s="357"/>
      <c r="I145" s="357"/>
      <c r="J145" s="593"/>
      <c r="K145" s="357"/>
      <c r="L145" s="357"/>
      <c r="M145" s="357"/>
      <c r="N145" s="209"/>
      <c r="O145" s="209"/>
      <c r="P145" s="209"/>
      <c r="Q145" s="209"/>
      <c r="R145" s="209"/>
      <c r="S145" s="209"/>
      <c r="T145" s="209"/>
      <c r="U145" s="209"/>
      <c r="V145" s="209"/>
      <c r="W145" s="209"/>
      <c r="X145" s="209"/>
    </row>
    <row r="146" spans="1:24" x14ac:dyDescent="0.25">
      <c r="A146" s="209"/>
      <c r="B146" s="357"/>
      <c r="C146" s="357"/>
      <c r="D146" s="357"/>
      <c r="E146" s="357"/>
      <c r="F146" s="357"/>
      <c r="G146" s="357"/>
      <c r="H146" s="357"/>
      <c r="I146" s="357"/>
      <c r="J146" s="593"/>
      <c r="K146" s="357"/>
      <c r="L146" s="357"/>
      <c r="M146" s="357"/>
      <c r="N146" s="209"/>
      <c r="O146" s="209"/>
      <c r="P146" s="209"/>
      <c r="Q146" s="209"/>
      <c r="R146" s="209"/>
      <c r="S146" s="209"/>
      <c r="T146" s="209"/>
      <c r="U146" s="209"/>
      <c r="V146" s="209"/>
      <c r="W146" s="209"/>
      <c r="X146" s="209"/>
    </row>
    <row r="147" spans="1:24" x14ac:dyDescent="0.25">
      <c r="A147" s="209"/>
      <c r="B147" s="357"/>
      <c r="C147" s="357"/>
      <c r="D147" s="357"/>
      <c r="E147" s="357"/>
      <c r="F147" s="357"/>
      <c r="G147" s="357"/>
      <c r="H147" s="357"/>
      <c r="I147" s="357"/>
      <c r="J147" s="593"/>
      <c r="K147" s="357"/>
      <c r="L147" s="357"/>
      <c r="M147" s="357"/>
      <c r="N147" s="209"/>
      <c r="O147" s="209"/>
      <c r="P147" s="209"/>
      <c r="Q147" s="209"/>
      <c r="R147" s="209"/>
      <c r="S147" s="209"/>
      <c r="T147" s="209"/>
      <c r="U147" s="209"/>
      <c r="V147" s="209"/>
      <c r="W147" s="209"/>
      <c r="X147" s="209"/>
    </row>
    <row r="148" spans="1:24" x14ac:dyDescent="0.25">
      <c r="A148" s="209"/>
      <c r="B148" s="357"/>
      <c r="C148" s="357"/>
      <c r="D148" s="357"/>
      <c r="E148" s="357"/>
      <c r="F148" s="357"/>
      <c r="G148" s="357"/>
      <c r="H148" s="357"/>
      <c r="I148" s="357"/>
      <c r="J148" s="593"/>
      <c r="K148" s="357"/>
      <c r="L148" s="357"/>
      <c r="M148" s="357"/>
      <c r="N148" s="209"/>
      <c r="O148" s="209"/>
      <c r="P148" s="209"/>
      <c r="Q148" s="209"/>
      <c r="R148" s="209"/>
      <c r="S148" s="209"/>
      <c r="T148" s="209"/>
      <c r="U148" s="209"/>
      <c r="V148" s="209"/>
      <c r="W148" s="209"/>
      <c r="X148" s="209"/>
    </row>
    <row r="149" spans="1:24" x14ac:dyDescent="0.25">
      <c r="A149" s="209"/>
      <c r="B149" s="357"/>
      <c r="C149" s="357"/>
      <c r="D149" s="357"/>
      <c r="E149" s="357"/>
      <c r="F149" s="357"/>
      <c r="G149" s="357"/>
      <c r="H149" s="357"/>
      <c r="I149" s="357"/>
      <c r="J149" s="593"/>
      <c r="K149" s="357"/>
      <c r="L149" s="357"/>
      <c r="M149" s="357"/>
      <c r="N149" s="209"/>
      <c r="O149" s="209"/>
      <c r="P149" s="209"/>
      <c r="Q149" s="209"/>
      <c r="R149" s="209"/>
      <c r="S149" s="209"/>
      <c r="T149" s="209"/>
      <c r="U149" s="209"/>
      <c r="V149" s="209"/>
      <c r="W149" s="209"/>
      <c r="X149" s="209"/>
    </row>
    <row r="150" spans="1:24" x14ac:dyDescent="0.25">
      <c r="A150" s="209"/>
      <c r="B150" s="357"/>
      <c r="C150" s="357"/>
      <c r="D150" s="357"/>
      <c r="E150" s="357"/>
      <c r="F150" s="357"/>
      <c r="G150" s="357"/>
      <c r="H150" s="357"/>
      <c r="I150" s="357"/>
      <c r="J150" s="593"/>
      <c r="K150" s="357"/>
      <c r="L150" s="357"/>
      <c r="M150" s="357"/>
      <c r="N150" s="209"/>
      <c r="O150" s="209"/>
      <c r="P150" s="209"/>
      <c r="Q150" s="209"/>
      <c r="R150" s="209"/>
      <c r="S150" s="209"/>
      <c r="T150" s="209"/>
      <c r="U150" s="209"/>
      <c r="V150" s="209"/>
      <c r="W150" s="209"/>
      <c r="X150" s="209"/>
    </row>
    <row r="151" spans="1:24" x14ac:dyDescent="0.25">
      <c r="A151" s="209"/>
      <c r="B151" s="357"/>
      <c r="C151" s="357"/>
      <c r="D151" s="357"/>
      <c r="E151" s="357"/>
      <c r="F151" s="357"/>
      <c r="G151" s="357"/>
      <c r="H151" s="357"/>
      <c r="I151" s="357"/>
      <c r="J151" s="593"/>
      <c r="K151" s="357"/>
      <c r="L151" s="357"/>
      <c r="M151" s="357"/>
      <c r="N151" s="209"/>
      <c r="O151" s="209"/>
      <c r="P151" s="209"/>
      <c r="Q151" s="209"/>
      <c r="R151" s="209"/>
      <c r="S151" s="209"/>
      <c r="T151" s="209"/>
      <c r="U151" s="209"/>
      <c r="V151" s="209"/>
      <c r="W151" s="209"/>
      <c r="X151" s="209"/>
    </row>
    <row r="152" spans="1:24" x14ac:dyDescent="0.25">
      <c r="A152" s="209"/>
      <c r="B152" s="357"/>
      <c r="C152" s="357"/>
      <c r="D152" s="357"/>
      <c r="E152" s="357"/>
      <c r="F152" s="357"/>
      <c r="G152" s="357"/>
      <c r="H152" s="357"/>
      <c r="I152" s="357"/>
      <c r="J152" s="593"/>
      <c r="K152" s="357"/>
      <c r="L152" s="357"/>
      <c r="M152" s="357"/>
      <c r="N152" s="209"/>
      <c r="O152" s="209"/>
      <c r="P152" s="209"/>
      <c r="Q152" s="209"/>
      <c r="R152" s="209"/>
      <c r="S152" s="209"/>
      <c r="T152" s="209"/>
      <c r="U152" s="209"/>
      <c r="V152" s="209"/>
      <c r="W152" s="209"/>
      <c r="X152" s="209"/>
    </row>
    <row r="153" spans="1:24" x14ac:dyDescent="0.25">
      <c r="A153" s="209"/>
      <c r="B153" s="357"/>
      <c r="C153" s="357"/>
      <c r="D153" s="357"/>
      <c r="E153" s="357"/>
      <c r="F153" s="357"/>
      <c r="G153" s="357"/>
      <c r="H153" s="357"/>
      <c r="I153" s="357"/>
      <c r="J153" s="593"/>
      <c r="K153" s="357"/>
      <c r="L153" s="357"/>
      <c r="M153" s="357"/>
      <c r="N153" s="209"/>
      <c r="O153" s="209"/>
      <c r="P153" s="209"/>
      <c r="Q153" s="209"/>
      <c r="R153" s="209"/>
      <c r="S153" s="209"/>
      <c r="T153" s="209"/>
      <c r="U153" s="209"/>
      <c r="V153" s="209"/>
      <c r="W153" s="209"/>
      <c r="X153" s="209"/>
    </row>
    <row r="154" spans="1:24" x14ac:dyDescent="0.25">
      <c r="A154" s="209"/>
      <c r="B154" s="357"/>
      <c r="C154" s="357"/>
      <c r="D154" s="357"/>
      <c r="E154" s="357"/>
      <c r="F154" s="357"/>
      <c r="G154" s="357"/>
      <c r="H154" s="357"/>
      <c r="I154" s="357"/>
      <c r="J154" s="593"/>
      <c r="K154" s="357"/>
      <c r="L154" s="357"/>
      <c r="M154" s="357"/>
      <c r="N154" s="209"/>
      <c r="O154" s="209"/>
      <c r="P154" s="209"/>
      <c r="Q154" s="209"/>
      <c r="R154" s="209"/>
      <c r="S154" s="209"/>
      <c r="T154" s="209"/>
      <c r="U154" s="209"/>
      <c r="V154" s="209"/>
      <c r="W154" s="209"/>
      <c r="X154" s="209"/>
    </row>
    <row r="155" spans="1:24" x14ac:dyDescent="0.25">
      <c r="A155" s="209"/>
      <c r="B155" s="357"/>
      <c r="C155" s="357"/>
      <c r="D155" s="357"/>
      <c r="E155" s="357"/>
      <c r="F155" s="357"/>
      <c r="G155" s="357"/>
      <c r="H155" s="357"/>
      <c r="I155" s="357"/>
      <c r="J155" s="593"/>
      <c r="K155" s="357"/>
      <c r="L155" s="357"/>
      <c r="M155" s="357"/>
      <c r="N155" s="209"/>
      <c r="O155" s="209"/>
      <c r="P155" s="209"/>
      <c r="Q155" s="209"/>
      <c r="R155" s="209"/>
      <c r="S155" s="209"/>
      <c r="T155" s="209"/>
      <c r="U155" s="209"/>
      <c r="V155" s="209"/>
      <c r="W155" s="209"/>
      <c r="X155" s="209"/>
    </row>
    <row r="156" spans="1:24" x14ac:dyDescent="0.25">
      <c r="A156" s="209"/>
      <c r="B156" s="357"/>
      <c r="C156" s="357"/>
      <c r="D156" s="357"/>
      <c r="E156" s="357"/>
      <c r="F156" s="357"/>
      <c r="G156" s="357"/>
      <c r="H156" s="357"/>
      <c r="I156" s="357"/>
      <c r="J156" s="593"/>
      <c r="K156" s="357"/>
      <c r="L156" s="357"/>
      <c r="M156" s="357"/>
      <c r="N156" s="209"/>
      <c r="O156" s="209"/>
      <c r="P156" s="209"/>
      <c r="Q156" s="209"/>
      <c r="R156" s="209"/>
      <c r="S156" s="209"/>
      <c r="T156" s="209"/>
      <c r="U156" s="209"/>
      <c r="V156" s="209"/>
      <c r="W156" s="209"/>
      <c r="X156" s="209"/>
    </row>
    <row r="157" spans="1:24" x14ac:dyDescent="0.25">
      <c r="A157" s="209"/>
      <c r="B157" s="357"/>
      <c r="C157" s="357"/>
      <c r="D157" s="357"/>
      <c r="E157" s="357"/>
      <c r="F157" s="357"/>
      <c r="G157" s="357"/>
      <c r="H157" s="357"/>
      <c r="I157" s="357"/>
      <c r="J157" s="593"/>
      <c r="K157" s="357"/>
      <c r="L157" s="357"/>
      <c r="M157" s="357"/>
      <c r="N157" s="209"/>
      <c r="O157" s="209"/>
      <c r="P157" s="209"/>
      <c r="Q157" s="209"/>
      <c r="R157" s="209"/>
      <c r="S157" s="209"/>
      <c r="T157" s="209"/>
      <c r="U157" s="209"/>
      <c r="V157" s="209"/>
      <c r="W157" s="209"/>
      <c r="X157" s="209"/>
    </row>
    <row r="158" spans="1:24" x14ac:dyDescent="0.25">
      <c r="A158" s="209"/>
      <c r="B158" s="357"/>
      <c r="C158" s="357"/>
      <c r="D158" s="357"/>
      <c r="E158" s="357"/>
      <c r="F158" s="357"/>
      <c r="G158" s="357"/>
      <c r="H158" s="357"/>
      <c r="I158" s="357"/>
      <c r="J158" s="593"/>
      <c r="K158" s="357"/>
      <c r="L158" s="357"/>
      <c r="M158" s="357"/>
      <c r="N158" s="209"/>
      <c r="O158" s="209"/>
      <c r="P158" s="209"/>
      <c r="Q158" s="209"/>
      <c r="R158" s="209"/>
      <c r="S158" s="209"/>
      <c r="T158" s="209"/>
      <c r="U158" s="209"/>
      <c r="V158" s="209"/>
      <c r="W158" s="209"/>
      <c r="X158" s="209"/>
    </row>
    <row r="159" spans="1:24" x14ac:dyDescent="0.25">
      <c r="A159" s="209"/>
      <c r="B159" s="357"/>
      <c r="C159" s="357"/>
      <c r="D159" s="357"/>
      <c r="E159" s="357"/>
      <c r="F159" s="357"/>
      <c r="G159" s="357"/>
      <c r="H159" s="357"/>
      <c r="I159" s="357"/>
      <c r="J159" s="593"/>
      <c r="K159" s="357"/>
      <c r="L159" s="357"/>
      <c r="M159" s="357"/>
      <c r="N159" s="209"/>
      <c r="O159" s="209"/>
      <c r="P159" s="209"/>
      <c r="Q159" s="209"/>
      <c r="R159" s="209"/>
      <c r="S159" s="209"/>
      <c r="T159" s="209"/>
      <c r="U159" s="209"/>
      <c r="V159" s="209"/>
      <c r="W159" s="209"/>
      <c r="X159" s="209"/>
    </row>
    <row r="160" spans="1:24" x14ac:dyDescent="0.25">
      <c r="A160" s="209"/>
      <c r="B160" s="357"/>
      <c r="C160" s="357"/>
      <c r="D160" s="357"/>
      <c r="E160" s="357"/>
      <c r="F160" s="357"/>
      <c r="G160" s="357"/>
      <c r="H160" s="357"/>
      <c r="I160" s="357"/>
      <c r="J160" s="593"/>
      <c r="K160" s="357"/>
      <c r="L160" s="357"/>
      <c r="M160" s="357"/>
      <c r="N160" s="209"/>
      <c r="O160" s="209"/>
      <c r="P160" s="209"/>
      <c r="Q160" s="209"/>
      <c r="R160" s="209"/>
      <c r="S160" s="209"/>
      <c r="T160" s="209"/>
      <c r="U160" s="209"/>
      <c r="V160" s="209"/>
      <c r="W160" s="209"/>
      <c r="X160" s="209"/>
    </row>
    <row r="161" spans="1:24" x14ac:dyDescent="0.25">
      <c r="A161" s="209"/>
      <c r="B161" s="357"/>
      <c r="C161" s="357"/>
      <c r="D161" s="357"/>
      <c r="E161" s="357"/>
      <c r="F161" s="357"/>
      <c r="G161" s="357"/>
      <c r="H161" s="357"/>
      <c r="I161" s="357"/>
      <c r="J161" s="593"/>
      <c r="K161" s="357"/>
      <c r="L161" s="357"/>
      <c r="M161" s="357"/>
      <c r="N161" s="209"/>
      <c r="O161" s="209"/>
      <c r="P161" s="209"/>
      <c r="Q161" s="209"/>
      <c r="R161" s="209"/>
      <c r="S161" s="209"/>
      <c r="T161" s="209"/>
      <c r="U161" s="209"/>
      <c r="V161" s="209"/>
      <c r="W161" s="209"/>
      <c r="X161" s="209"/>
    </row>
    <row r="162" spans="1:24" x14ac:dyDescent="0.25">
      <c r="A162" s="209"/>
      <c r="B162" s="357"/>
      <c r="C162" s="357"/>
      <c r="D162" s="357"/>
      <c r="E162" s="357"/>
      <c r="F162" s="357"/>
      <c r="G162" s="357"/>
      <c r="H162" s="357"/>
      <c r="I162" s="357"/>
      <c r="J162" s="593"/>
      <c r="K162" s="357"/>
      <c r="L162" s="357"/>
      <c r="M162" s="357"/>
      <c r="N162" s="209"/>
      <c r="O162" s="209"/>
      <c r="P162" s="209"/>
      <c r="Q162" s="209"/>
      <c r="R162" s="209"/>
      <c r="S162" s="209"/>
      <c r="T162" s="209"/>
      <c r="U162" s="209"/>
      <c r="V162" s="209"/>
      <c r="W162" s="209"/>
      <c r="X162" s="209"/>
    </row>
    <row r="163" spans="1:24" x14ac:dyDescent="0.25">
      <c r="A163" s="209"/>
      <c r="B163" s="357"/>
      <c r="C163" s="357"/>
      <c r="D163" s="357"/>
      <c r="E163" s="357"/>
      <c r="F163" s="357"/>
      <c r="G163" s="357"/>
      <c r="H163" s="357"/>
      <c r="I163" s="357"/>
      <c r="J163" s="593"/>
      <c r="K163" s="357"/>
      <c r="L163" s="357"/>
      <c r="M163" s="357"/>
      <c r="N163" s="209"/>
      <c r="O163" s="209"/>
      <c r="P163" s="209"/>
      <c r="Q163" s="209"/>
      <c r="R163" s="209"/>
      <c r="S163" s="209"/>
      <c r="T163" s="209"/>
      <c r="U163" s="209"/>
      <c r="V163" s="209"/>
      <c r="W163" s="209"/>
      <c r="X163" s="209"/>
    </row>
    <row r="164" spans="1:24" x14ac:dyDescent="0.25">
      <c r="A164" s="209"/>
      <c r="B164" s="357"/>
      <c r="C164" s="357"/>
      <c r="D164" s="357"/>
      <c r="E164" s="357"/>
      <c r="F164" s="357"/>
      <c r="G164" s="357"/>
      <c r="H164" s="357"/>
      <c r="I164" s="357"/>
      <c r="J164" s="593"/>
      <c r="K164" s="357"/>
      <c r="L164" s="357"/>
      <c r="M164" s="357"/>
      <c r="N164" s="209"/>
      <c r="O164" s="209"/>
      <c r="P164" s="209"/>
      <c r="Q164" s="209"/>
      <c r="R164" s="209"/>
      <c r="S164" s="209"/>
      <c r="T164" s="209"/>
      <c r="U164" s="209"/>
      <c r="V164" s="209"/>
      <c r="W164" s="209"/>
      <c r="X164" s="209"/>
    </row>
    <row r="165" spans="1:24" x14ac:dyDescent="0.25">
      <c r="A165" s="209"/>
      <c r="B165" s="357"/>
      <c r="C165" s="357"/>
      <c r="D165" s="357"/>
      <c r="E165" s="357"/>
      <c r="F165" s="357"/>
      <c r="G165" s="357"/>
      <c r="H165" s="357"/>
      <c r="I165" s="357"/>
      <c r="J165" s="593"/>
      <c r="K165" s="357"/>
      <c r="L165" s="357"/>
      <c r="M165" s="357"/>
      <c r="N165" s="209"/>
      <c r="O165" s="209"/>
      <c r="P165" s="209"/>
      <c r="Q165" s="209"/>
      <c r="R165" s="209"/>
      <c r="S165" s="209"/>
      <c r="T165" s="209"/>
      <c r="U165" s="209"/>
      <c r="V165" s="209"/>
      <c r="W165" s="209"/>
      <c r="X165" s="209"/>
    </row>
    <row r="166" spans="1:24" x14ac:dyDescent="0.25">
      <c r="A166" s="209"/>
      <c r="B166" s="357"/>
      <c r="C166" s="357"/>
      <c r="D166" s="357"/>
      <c r="E166" s="357"/>
      <c r="F166" s="357"/>
      <c r="G166" s="357"/>
      <c r="H166" s="357"/>
      <c r="I166" s="357"/>
      <c r="J166" s="593"/>
      <c r="K166" s="357"/>
      <c r="L166" s="357"/>
      <c r="M166" s="357"/>
      <c r="N166" s="209"/>
      <c r="O166" s="209"/>
      <c r="P166" s="209"/>
      <c r="Q166" s="209"/>
      <c r="R166" s="209"/>
      <c r="S166" s="209"/>
      <c r="T166" s="209"/>
      <c r="U166" s="209"/>
      <c r="V166" s="209"/>
      <c r="W166" s="209"/>
      <c r="X166" s="209"/>
    </row>
    <row r="167" spans="1:24" x14ac:dyDescent="0.25">
      <c r="A167" s="209"/>
      <c r="B167" s="357"/>
      <c r="C167" s="357"/>
      <c r="D167" s="357"/>
      <c r="E167" s="357"/>
      <c r="F167" s="357"/>
      <c r="G167" s="357"/>
      <c r="H167" s="357"/>
      <c r="I167" s="357"/>
      <c r="J167" s="593"/>
      <c r="K167" s="357"/>
      <c r="L167" s="357"/>
      <c r="M167" s="357"/>
      <c r="N167" s="209"/>
      <c r="O167" s="209"/>
      <c r="P167" s="209"/>
      <c r="Q167" s="209"/>
      <c r="R167" s="209"/>
      <c r="S167" s="209"/>
      <c r="T167" s="209"/>
      <c r="U167" s="209"/>
      <c r="V167" s="209"/>
      <c r="W167" s="209"/>
      <c r="X167" s="209"/>
    </row>
    <row r="168" spans="1:24" x14ac:dyDescent="0.25">
      <c r="A168" s="209"/>
      <c r="B168" s="357"/>
      <c r="C168" s="357"/>
      <c r="D168" s="357"/>
      <c r="E168" s="357"/>
      <c r="F168" s="357"/>
      <c r="G168" s="357"/>
      <c r="H168" s="357"/>
      <c r="I168" s="357"/>
      <c r="J168" s="593"/>
      <c r="K168" s="357"/>
      <c r="L168" s="357"/>
      <c r="M168" s="357"/>
      <c r="N168" s="209"/>
      <c r="O168" s="209"/>
      <c r="P168" s="209"/>
      <c r="Q168" s="209"/>
      <c r="R168" s="209"/>
      <c r="S168" s="209"/>
      <c r="T168" s="209"/>
      <c r="U168" s="209"/>
      <c r="V168" s="209"/>
      <c r="W168" s="209"/>
      <c r="X168" s="209"/>
    </row>
    <row r="169" spans="1:24" x14ac:dyDescent="0.25">
      <c r="A169" s="209"/>
      <c r="B169" s="357"/>
      <c r="C169" s="357"/>
      <c r="D169" s="357"/>
      <c r="E169" s="357"/>
      <c r="F169" s="357"/>
      <c r="G169" s="357"/>
      <c r="H169" s="357"/>
      <c r="I169" s="357"/>
      <c r="J169" s="593"/>
      <c r="K169" s="357"/>
      <c r="L169" s="357"/>
      <c r="M169" s="357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</row>
    <row r="170" spans="1:24" x14ac:dyDescent="0.25">
      <c r="A170" s="209"/>
      <c r="B170" s="357"/>
      <c r="C170" s="357"/>
      <c r="D170" s="357"/>
      <c r="E170" s="357"/>
      <c r="F170" s="357"/>
      <c r="G170" s="357"/>
      <c r="H170" s="357"/>
      <c r="I170" s="357"/>
      <c r="J170" s="593"/>
      <c r="K170" s="357"/>
      <c r="L170" s="357"/>
      <c r="M170" s="357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</row>
    <row r="171" spans="1:24" x14ac:dyDescent="0.25">
      <c r="A171" s="209"/>
      <c r="B171" s="357"/>
      <c r="C171" s="357"/>
      <c r="D171" s="357"/>
      <c r="E171" s="357"/>
      <c r="F171" s="357"/>
      <c r="G171" s="357"/>
      <c r="H171" s="357"/>
      <c r="I171" s="357"/>
      <c r="J171" s="593"/>
      <c r="K171" s="357"/>
      <c r="L171" s="357"/>
      <c r="M171" s="357"/>
      <c r="N171" s="209"/>
      <c r="O171" s="209"/>
      <c r="P171" s="209"/>
      <c r="Q171" s="209"/>
      <c r="R171" s="209"/>
      <c r="S171" s="209"/>
      <c r="T171" s="209"/>
      <c r="U171" s="209"/>
      <c r="V171" s="209"/>
      <c r="W171" s="209"/>
      <c r="X171" s="209"/>
    </row>
    <row r="172" spans="1:24" x14ac:dyDescent="0.25">
      <c r="A172" s="209"/>
      <c r="B172" s="357"/>
      <c r="C172" s="357"/>
      <c r="D172" s="357"/>
      <c r="E172" s="357"/>
      <c r="F172" s="357"/>
      <c r="G172" s="357"/>
      <c r="H172" s="357"/>
      <c r="I172" s="357"/>
      <c r="J172" s="593"/>
      <c r="K172" s="357"/>
      <c r="L172" s="357"/>
      <c r="M172" s="357"/>
      <c r="N172" s="209"/>
      <c r="O172" s="209"/>
      <c r="P172" s="209"/>
      <c r="Q172" s="209"/>
      <c r="R172" s="209"/>
      <c r="S172" s="209"/>
      <c r="T172" s="209"/>
      <c r="U172" s="209"/>
      <c r="V172" s="209"/>
      <c r="W172" s="209"/>
      <c r="X172" s="209"/>
    </row>
    <row r="173" spans="1:24" x14ac:dyDescent="0.25">
      <c r="A173" s="209"/>
      <c r="B173" s="357"/>
      <c r="C173" s="357"/>
      <c r="D173" s="357"/>
      <c r="E173" s="357"/>
      <c r="F173" s="357"/>
      <c r="G173" s="357"/>
      <c r="H173" s="357"/>
      <c r="I173" s="357"/>
      <c r="J173" s="593"/>
      <c r="K173" s="357"/>
      <c r="L173" s="357"/>
      <c r="M173" s="357"/>
      <c r="N173" s="209"/>
      <c r="O173" s="209"/>
      <c r="P173" s="209"/>
      <c r="Q173" s="209"/>
      <c r="R173" s="209"/>
      <c r="S173" s="209"/>
      <c r="T173" s="209"/>
      <c r="U173" s="209"/>
      <c r="V173" s="209"/>
      <c r="W173" s="209"/>
      <c r="X173" s="209"/>
    </row>
    <row r="174" spans="1:24" x14ac:dyDescent="0.25">
      <c r="A174" s="209"/>
      <c r="B174" s="357"/>
      <c r="C174" s="357"/>
      <c r="D174" s="357"/>
      <c r="E174" s="357"/>
      <c r="F174" s="357"/>
      <c r="G174" s="357"/>
      <c r="H174" s="357"/>
      <c r="I174" s="357"/>
      <c r="J174" s="593"/>
      <c r="K174" s="357"/>
      <c r="L174" s="357"/>
      <c r="M174" s="357"/>
      <c r="N174" s="209"/>
      <c r="O174" s="209"/>
      <c r="P174" s="209"/>
      <c r="Q174" s="209"/>
      <c r="R174" s="209"/>
      <c r="S174" s="209"/>
      <c r="T174" s="209"/>
      <c r="U174" s="209"/>
      <c r="V174" s="209"/>
      <c r="W174" s="209"/>
      <c r="X174" s="209"/>
    </row>
    <row r="175" spans="1:24" x14ac:dyDescent="0.25">
      <c r="A175" s="209"/>
      <c r="B175" s="357"/>
      <c r="C175" s="357"/>
      <c r="D175" s="357"/>
      <c r="E175" s="357"/>
      <c r="F175" s="357"/>
      <c r="G175" s="357"/>
      <c r="H175" s="357"/>
      <c r="I175" s="357"/>
      <c r="J175" s="593"/>
      <c r="K175" s="357"/>
      <c r="L175" s="357"/>
      <c r="M175" s="357"/>
      <c r="N175" s="209"/>
      <c r="O175" s="209"/>
      <c r="P175" s="209"/>
      <c r="Q175" s="209"/>
      <c r="R175" s="209"/>
      <c r="S175" s="209"/>
      <c r="T175" s="209"/>
      <c r="U175" s="209"/>
      <c r="V175" s="209"/>
      <c r="W175" s="209"/>
      <c r="X175" s="209"/>
    </row>
    <row r="176" spans="1:24" x14ac:dyDescent="0.25">
      <c r="A176" s="209"/>
      <c r="B176" s="357"/>
      <c r="C176" s="357"/>
      <c r="D176" s="357"/>
      <c r="E176" s="357"/>
      <c r="F176" s="357"/>
      <c r="G176" s="357"/>
      <c r="H176" s="357"/>
      <c r="I176" s="357"/>
      <c r="J176" s="593"/>
      <c r="K176" s="357"/>
      <c r="L176" s="357"/>
      <c r="M176" s="357"/>
      <c r="N176" s="209"/>
      <c r="O176" s="209"/>
      <c r="P176" s="209"/>
      <c r="Q176" s="209"/>
      <c r="R176" s="209"/>
      <c r="S176" s="209"/>
      <c r="T176" s="209"/>
      <c r="U176" s="209"/>
      <c r="V176" s="209"/>
      <c r="W176" s="209"/>
      <c r="X176" s="209"/>
    </row>
    <row r="177" spans="1:24" x14ac:dyDescent="0.25">
      <c r="A177" s="209"/>
      <c r="B177" s="357"/>
      <c r="C177" s="357"/>
      <c r="D177" s="357"/>
      <c r="E177" s="357"/>
      <c r="F177" s="357"/>
      <c r="G177" s="357"/>
      <c r="H177" s="357"/>
      <c r="I177" s="357"/>
      <c r="J177" s="593"/>
      <c r="K177" s="357"/>
      <c r="L177" s="357"/>
      <c r="M177" s="357"/>
      <c r="N177" s="209"/>
      <c r="O177" s="209"/>
      <c r="P177" s="209"/>
      <c r="Q177" s="209"/>
      <c r="R177" s="209"/>
      <c r="S177" s="209"/>
      <c r="T177" s="209"/>
      <c r="U177" s="209"/>
      <c r="V177" s="209"/>
      <c r="W177" s="209"/>
      <c r="X177" s="209"/>
    </row>
    <row r="178" spans="1:24" x14ac:dyDescent="0.25">
      <c r="A178" s="209"/>
      <c r="B178" s="357"/>
      <c r="C178" s="357"/>
      <c r="D178" s="357"/>
      <c r="E178" s="357"/>
      <c r="F178" s="357"/>
      <c r="G178" s="357"/>
      <c r="H178" s="357"/>
      <c r="I178" s="357"/>
      <c r="J178" s="593"/>
      <c r="K178" s="357"/>
      <c r="L178" s="357"/>
      <c r="M178" s="357"/>
      <c r="N178" s="209"/>
      <c r="O178" s="209"/>
      <c r="P178" s="209"/>
      <c r="Q178" s="209"/>
      <c r="R178" s="209"/>
      <c r="S178" s="209"/>
      <c r="T178" s="209"/>
      <c r="U178" s="209"/>
      <c r="V178" s="209"/>
      <c r="W178" s="209"/>
      <c r="X178" s="209"/>
    </row>
    <row r="179" spans="1:24" x14ac:dyDescent="0.25">
      <c r="A179" s="209"/>
      <c r="B179" s="357"/>
      <c r="C179" s="357"/>
      <c r="D179" s="357"/>
      <c r="E179" s="357"/>
      <c r="F179" s="357"/>
      <c r="G179" s="357"/>
      <c r="H179" s="357"/>
      <c r="I179" s="357"/>
      <c r="J179" s="593"/>
      <c r="K179" s="357"/>
      <c r="L179" s="357"/>
      <c r="M179" s="357"/>
      <c r="N179" s="209"/>
      <c r="O179" s="209"/>
      <c r="P179" s="209"/>
      <c r="Q179" s="209"/>
      <c r="R179" s="209"/>
      <c r="S179" s="209"/>
      <c r="T179" s="209"/>
      <c r="U179" s="209"/>
      <c r="V179" s="209"/>
      <c r="W179" s="209"/>
      <c r="X179" s="209"/>
    </row>
    <row r="180" spans="1:24" x14ac:dyDescent="0.25">
      <c r="A180" s="209"/>
      <c r="B180" s="357"/>
      <c r="C180" s="357"/>
      <c r="D180" s="357"/>
      <c r="E180" s="357"/>
      <c r="F180" s="357"/>
      <c r="G180" s="357"/>
      <c r="H180" s="357"/>
      <c r="I180" s="357"/>
      <c r="J180" s="593"/>
      <c r="K180" s="357"/>
      <c r="L180" s="357"/>
      <c r="M180" s="357"/>
      <c r="N180" s="209"/>
      <c r="O180" s="209"/>
      <c r="P180" s="209"/>
      <c r="Q180" s="209"/>
      <c r="R180" s="209"/>
      <c r="S180" s="209"/>
      <c r="T180" s="209"/>
      <c r="U180" s="209"/>
      <c r="V180" s="209"/>
      <c r="W180" s="209"/>
      <c r="X180" s="209"/>
    </row>
    <row r="181" spans="1:24" x14ac:dyDescent="0.25">
      <c r="A181" s="209"/>
      <c r="B181" s="357"/>
      <c r="C181" s="357"/>
      <c r="D181" s="357"/>
      <c r="E181" s="357"/>
      <c r="F181" s="357"/>
      <c r="G181" s="357"/>
      <c r="H181" s="357"/>
      <c r="I181" s="357"/>
      <c r="J181" s="593"/>
      <c r="K181" s="357"/>
      <c r="L181" s="357"/>
      <c r="M181" s="357"/>
      <c r="N181" s="209"/>
      <c r="O181" s="209"/>
      <c r="P181" s="209"/>
      <c r="Q181" s="209"/>
      <c r="R181" s="209"/>
      <c r="S181" s="209"/>
      <c r="T181" s="209"/>
      <c r="U181" s="209"/>
      <c r="V181" s="209"/>
      <c r="W181" s="209"/>
      <c r="X181" s="209"/>
    </row>
    <row r="182" spans="1:24" x14ac:dyDescent="0.25">
      <c r="A182" s="209"/>
      <c r="B182" s="357"/>
      <c r="C182" s="357"/>
      <c r="D182" s="357"/>
      <c r="E182" s="357"/>
      <c r="F182" s="357"/>
      <c r="G182" s="357"/>
      <c r="H182" s="357"/>
      <c r="I182" s="357"/>
      <c r="J182" s="593"/>
      <c r="K182" s="357"/>
      <c r="L182" s="357"/>
      <c r="M182" s="357"/>
      <c r="N182" s="209"/>
      <c r="O182" s="209"/>
      <c r="P182" s="209"/>
      <c r="Q182" s="209"/>
      <c r="R182" s="209"/>
      <c r="S182" s="209"/>
      <c r="T182" s="209"/>
      <c r="U182" s="209"/>
      <c r="V182" s="209"/>
      <c r="W182" s="209"/>
      <c r="X182" s="209"/>
    </row>
    <row r="183" spans="1:24" x14ac:dyDescent="0.25">
      <c r="A183" s="209"/>
      <c r="B183" s="357"/>
      <c r="C183" s="357"/>
      <c r="D183" s="357"/>
      <c r="E183" s="357"/>
      <c r="F183" s="357"/>
      <c r="G183" s="357"/>
      <c r="H183" s="357"/>
      <c r="I183" s="357"/>
      <c r="J183" s="593"/>
      <c r="K183" s="357"/>
      <c r="L183" s="357"/>
      <c r="M183" s="357"/>
      <c r="N183" s="209"/>
      <c r="O183" s="209"/>
      <c r="P183" s="209"/>
      <c r="Q183" s="209"/>
      <c r="R183" s="209"/>
      <c r="S183" s="209"/>
      <c r="T183" s="209"/>
      <c r="U183" s="209"/>
      <c r="V183" s="209"/>
      <c r="W183" s="209"/>
      <c r="X183" s="209"/>
    </row>
    <row r="184" spans="1:24" x14ac:dyDescent="0.25">
      <c r="A184" s="209"/>
      <c r="B184" s="357"/>
      <c r="C184" s="357"/>
      <c r="D184" s="357"/>
      <c r="E184" s="357"/>
      <c r="F184" s="357"/>
      <c r="G184" s="357"/>
      <c r="H184" s="357"/>
      <c r="I184" s="357"/>
      <c r="J184" s="593"/>
      <c r="K184" s="357"/>
      <c r="L184" s="357"/>
      <c r="M184" s="357"/>
      <c r="N184" s="209"/>
      <c r="O184" s="209"/>
      <c r="P184" s="209"/>
      <c r="Q184" s="209"/>
      <c r="R184" s="209"/>
      <c r="S184" s="209"/>
      <c r="T184" s="209"/>
      <c r="U184" s="209"/>
      <c r="V184" s="209"/>
      <c r="W184" s="209"/>
      <c r="X184" s="209"/>
    </row>
    <row r="185" spans="1:24" x14ac:dyDescent="0.25">
      <c r="A185" s="209"/>
      <c r="B185" s="357"/>
      <c r="C185" s="357"/>
      <c r="D185" s="357"/>
      <c r="E185" s="357"/>
      <c r="F185" s="357"/>
      <c r="G185" s="357"/>
      <c r="H185" s="357"/>
      <c r="I185" s="357"/>
      <c r="J185" s="593"/>
      <c r="K185" s="357"/>
      <c r="L185" s="357"/>
      <c r="M185" s="357"/>
      <c r="N185" s="209"/>
      <c r="O185" s="209"/>
      <c r="P185" s="209"/>
      <c r="Q185" s="209"/>
      <c r="R185" s="209"/>
      <c r="S185" s="209"/>
      <c r="T185" s="209"/>
      <c r="U185" s="209"/>
      <c r="V185" s="209"/>
      <c r="W185" s="209"/>
      <c r="X185" s="209"/>
    </row>
    <row r="186" spans="1:24" x14ac:dyDescent="0.25">
      <c r="A186" s="209"/>
      <c r="B186" s="357"/>
      <c r="C186" s="357"/>
      <c r="D186" s="357"/>
      <c r="E186" s="357"/>
      <c r="F186" s="357"/>
      <c r="G186" s="357"/>
      <c r="H186" s="357"/>
      <c r="I186" s="357"/>
      <c r="J186" s="593"/>
      <c r="K186" s="357"/>
      <c r="L186" s="357"/>
      <c r="M186" s="357"/>
      <c r="N186" s="209"/>
      <c r="O186" s="209"/>
      <c r="P186" s="209"/>
      <c r="Q186" s="209"/>
      <c r="R186" s="209"/>
      <c r="S186" s="209"/>
      <c r="T186" s="209"/>
      <c r="U186" s="209"/>
      <c r="V186" s="209"/>
      <c r="W186" s="209"/>
      <c r="X186" s="209"/>
    </row>
    <row r="187" spans="1:24" x14ac:dyDescent="0.25">
      <c r="A187" s="209"/>
      <c r="B187" s="357"/>
      <c r="C187" s="357"/>
      <c r="D187" s="357"/>
      <c r="E187" s="357"/>
      <c r="F187" s="357"/>
      <c r="G187" s="357"/>
      <c r="H187" s="357"/>
      <c r="I187" s="357"/>
      <c r="J187" s="593"/>
      <c r="K187" s="357"/>
      <c r="L187" s="357"/>
      <c r="M187" s="357"/>
      <c r="N187" s="209"/>
      <c r="O187" s="209"/>
      <c r="P187" s="209"/>
      <c r="Q187" s="209"/>
      <c r="R187" s="209"/>
      <c r="S187" s="209"/>
      <c r="T187" s="209"/>
      <c r="U187" s="209"/>
      <c r="V187" s="209"/>
      <c r="W187" s="209"/>
      <c r="X187" s="209"/>
    </row>
    <row r="188" spans="1:24" x14ac:dyDescent="0.25">
      <c r="A188" s="209"/>
      <c r="B188" s="357"/>
      <c r="C188" s="357"/>
      <c r="D188" s="357"/>
      <c r="E188" s="357"/>
      <c r="F188" s="357"/>
      <c r="G188" s="357"/>
      <c r="H188" s="357"/>
      <c r="I188" s="357"/>
      <c r="J188" s="593"/>
      <c r="K188" s="357"/>
      <c r="L188" s="357"/>
      <c r="M188" s="357"/>
      <c r="N188" s="209"/>
      <c r="O188" s="209"/>
      <c r="P188" s="209"/>
      <c r="Q188" s="209"/>
      <c r="R188" s="209"/>
      <c r="S188" s="209"/>
      <c r="T188" s="209"/>
      <c r="U188" s="209"/>
      <c r="V188" s="209"/>
      <c r="W188" s="209"/>
      <c r="X188" s="209"/>
    </row>
    <row r="189" spans="1:24" x14ac:dyDescent="0.25">
      <c r="A189" s="209"/>
      <c r="B189" s="357"/>
      <c r="C189" s="357"/>
      <c r="D189" s="357"/>
      <c r="E189" s="357"/>
      <c r="F189" s="357"/>
      <c r="G189" s="357"/>
      <c r="H189" s="357"/>
      <c r="I189" s="357"/>
      <c r="J189" s="593"/>
      <c r="K189" s="357"/>
      <c r="L189" s="357"/>
      <c r="M189" s="357"/>
      <c r="N189" s="209"/>
      <c r="O189" s="209"/>
      <c r="P189" s="209"/>
      <c r="Q189" s="209"/>
      <c r="R189" s="209"/>
      <c r="S189" s="209"/>
      <c r="T189" s="209"/>
      <c r="U189" s="209"/>
      <c r="V189" s="209"/>
      <c r="W189" s="209"/>
      <c r="X189" s="209"/>
    </row>
    <row r="190" spans="1:24" x14ac:dyDescent="0.25">
      <c r="A190" s="209"/>
      <c r="B190" s="357"/>
      <c r="C190" s="357"/>
      <c r="D190" s="357"/>
      <c r="E190" s="357"/>
      <c r="F190" s="357"/>
      <c r="G190" s="357"/>
      <c r="H190" s="357"/>
      <c r="I190" s="357"/>
      <c r="J190" s="593"/>
      <c r="K190" s="357"/>
      <c r="L190" s="357"/>
      <c r="M190" s="357"/>
      <c r="N190" s="209"/>
      <c r="O190" s="209"/>
      <c r="P190" s="209"/>
      <c r="Q190" s="209"/>
      <c r="R190" s="209"/>
      <c r="S190" s="209"/>
      <c r="T190" s="209"/>
      <c r="U190" s="209"/>
      <c r="V190" s="209"/>
      <c r="W190" s="209"/>
      <c r="X190" s="209"/>
    </row>
    <row r="191" spans="1:24" x14ac:dyDescent="0.25">
      <c r="A191" s="209"/>
      <c r="B191" s="357"/>
      <c r="C191" s="357"/>
      <c r="D191" s="357"/>
      <c r="E191" s="357"/>
      <c r="F191" s="357"/>
      <c r="G191" s="357"/>
      <c r="H191" s="357"/>
      <c r="I191" s="357"/>
      <c r="J191" s="593"/>
      <c r="K191" s="357"/>
      <c r="L191" s="357"/>
      <c r="M191" s="357"/>
      <c r="N191" s="209"/>
      <c r="O191" s="209"/>
      <c r="P191" s="209"/>
      <c r="Q191" s="209"/>
      <c r="R191" s="209"/>
      <c r="S191" s="209"/>
      <c r="T191" s="209"/>
      <c r="U191" s="209"/>
      <c r="V191" s="209"/>
      <c r="W191" s="209"/>
      <c r="X191" s="209"/>
    </row>
    <row r="192" spans="1:24" x14ac:dyDescent="0.25">
      <c r="A192" s="209"/>
      <c r="B192" s="357"/>
      <c r="C192" s="357"/>
      <c r="D192" s="357"/>
      <c r="E192" s="357"/>
      <c r="F192" s="357"/>
      <c r="G192" s="357"/>
      <c r="H192" s="357"/>
      <c r="I192" s="357"/>
      <c r="J192" s="593"/>
      <c r="K192" s="357"/>
      <c r="L192" s="357"/>
      <c r="M192" s="357"/>
      <c r="N192" s="209"/>
      <c r="O192" s="209"/>
      <c r="P192" s="209"/>
      <c r="Q192" s="209"/>
      <c r="R192" s="209"/>
      <c r="S192" s="209"/>
      <c r="T192" s="209"/>
      <c r="U192" s="209"/>
      <c r="V192" s="209"/>
      <c r="W192" s="209"/>
      <c r="X192" s="209"/>
    </row>
    <row r="193" spans="1:24" x14ac:dyDescent="0.25">
      <c r="A193" s="209"/>
      <c r="B193" s="357"/>
      <c r="C193" s="357"/>
      <c r="D193" s="357"/>
      <c r="E193" s="357"/>
      <c r="F193" s="357"/>
      <c r="G193" s="357"/>
      <c r="H193" s="357"/>
      <c r="I193" s="357"/>
      <c r="J193" s="593"/>
      <c r="K193" s="357"/>
      <c r="L193" s="357"/>
      <c r="M193" s="357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</row>
    <row r="194" spans="1:24" x14ac:dyDescent="0.25">
      <c r="A194" s="209"/>
      <c r="B194" s="357"/>
      <c r="C194" s="357"/>
      <c r="D194" s="357"/>
      <c r="E194" s="357"/>
      <c r="F194" s="357"/>
      <c r="G194" s="357"/>
      <c r="H194" s="357"/>
      <c r="I194" s="357"/>
      <c r="J194" s="593"/>
      <c r="K194" s="357"/>
      <c r="L194" s="357"/>
      <c r="M194" s="357"/>
      <c r="N194" s="209"/>
      <c r="O194" s="209"/>
      <c r="P194" s="209"/>
      <c r="Q194" s="209"/>
      <c r="R194" s="209"/>
      <c r="S194" s="209"/>
      <c r="T194" s="209"/>
      <c r="U194" s="209"/>
      <c r="V194" s="209"/>
      <c r="W194" s="209"/>
      <c r="X194" s="209"/>
    </row>
    <row r="195" spans="1:24" x14ac:dyDescent="0.25">
      <c r="A195" s="209"/>
      <c r="B195" s="357"/>
      <c r="C195" s="357"/>
      <c r="D195" s="357"/>
      <c r="E195" s="357"/>
      <c r="F195" s="357"/>
      <c r="G195" s="357"/>
      <c r="H195" s="357"/>
      <c r="I195" s="357"/>
      <c r="J195" s="593"/>
      <c r="K195" s="357"/>
      <c r="L195" s="357"/>
      <c r="M195" s="357"/>
      <c r="N195" s="209"/>
      <c r="O195" s="209"/>
      <c r="P195" s="209"/>
      <c r="Q195" s="209"/>
      <c r="R195" s="209"/>
      <c r="S195" s="209"/>
      <c r="T195" s="209"/>
      <c r="U195" s="209"/>
      <c r="V195" s="209"/>
      <c r="W195" s="209"/>
      <c r="X195" s="209"/>
    </row>
    <row r="196" spans="1:24" x14ac:dyDescent="0.25">
      <c r="A196" s="209"/>
      <c r="B196" s="357"/>
      <c r="C196" s="357"/>
      <c r="D196" s="357"/>
      <c r="E196" s="357"/>
      <c r="F196" s="357"/>
      <c r="G196" s="357"/>
      <c r="H196" s="357"/>
      <c r="I196" s="357"/>
      <c r="J196" s="593"/>
      <c r="K196" s="357"/>
      <c r="L196" s="357"/>
      <c r="M196" s="357"/>
      <c r="N196" s="209"/>
      <c r="O196" s="209"/>
      <c r="P196" s="209"/>
      <c r="Q196" s="209"/>
      <c r="R196" s="209"/>
      <c r="S196" s="209"/>
      <c r="T196" s="209"/>
      <c r="U196" s="209"/>
      <c r="V196" s="209"/>
      <c r="W196" s="209"/>
      <c r="X196" s="209"/>
    </row>
    <row r="197" spans="1:24" x14ac:dyDescent="0.25">
      <c r="A197" s="209"/>
      <c r="B197" s="357"/>
      <c r="C197" s="357"/>
      <c r="D197" s="357"/>
      <c r="E197" s="357"/>
      <c r="F197" s="357"/>
      <c r="G197" s="357"/>
      <c r="H197" s="357"/>
      <c r="I197" s="357"/>
      <c r="J197" s="593"/>
      <c r="K197" s="357"/>
      <c r="L197" s="357"/>
      <c r="M197" s="357"/>
      <c r="N197" s="209"/>
      <c r="O197" s="209"/>
      <c r="P197" s="209"/>
      <c r="Q197" s="209"/>
      <c r="R197" s="209"/>
      <c r="S197" s="209"/>
      <c r="T197" s="209"/>
      <c r="U197" s="209"/>
      <c r="V197" s="209"/>
      <c r="W197" s="209"/>
      <c r="X197" s="209"/>
    </row>
    <row r="198" spans="1:24" x14ac:dyDescent="0.25">
      <c r="A198" s="209"/>
      <c r="B198" s="357"/>
      <c r="C198" s="357"/>
      <c r="D198" s="357"/>
      <c r="E198" s="357"/>
      <c r="F198" s="357"/>
      <c r="G198" s="357"/>
      <c r="H198" s="357"/>
      <c r="I198" s="357"/>
      <c r="J198" s="593"/>
      <c r="K198" s="357"/>
      <c r="L198" s="357"/>
      <c r="M198" s="357"/>
      <c r="N198" s="209"/>
      <c r="O198" s="209"/>
      <c r="P198" s="209"/>
      <c r="Q198" s="209"/>
      <c r="R198" s="209"/>
      <c r="S198" s="209"/>
      <c r="T198" s="209"/>
      <c r="U198" s="209"/>
      <c r="V198" s="209"/>
      <c r="W198" s="209"/>
      <c r="X198" s="209"/>
    </row>
    <row r="199" spans="1:24" x14ac:dyDescent="0.25">
      <c r="A199" s="209"/>
      <c r="B199" s="357"/>
      <c r="C199" s="357"/>
      <c r="D199" s="357"/>
      <c r="E199" s="357"/>
      <c r="F199" s="357"/>
      <c r="G199" s="357"/>
      <c r="H199" s="357"/>
      <c r="I199" s="357"/>
      <c r="J199" s="593"/>
      <c r="K199" s="357"/>
      <c r="L199" s="357"/>
      <c r="M199" s="357"/>
      <c r="N199" s="209"/>
      <c r="O199" s="209"/>
      <c r="P199" s="209"/>
      <c r="Q199" s="209"/>
      <c r="R199" s="209"/>
      <c r="S199" s="209"/>
      <c r="T199" s="209"/>
      <c r="U199" s="209"/>
      <c r="V199" s="209"/>
      <c r="W199" s="209"/>
      <c r="X199" s="209"/>
    </row>
    <row r="200" spans="1:24" x14ac:dyDescent="0.25">
      <c r="A200" s="209"/>
      <c r="B200" s="357"/>
      <c r="C200" s="357"/>
      <c r="D200" s="357"/>
      <c r="E200" s="357"/>
      <c r="F200" s="357"/>
      <c r="G200" s="357"/>
      <c r="H200" s="357"/>
      <c r="I200" s="357"/>
      <c r="J200" s="593"/>
      <c r="K200" s="357"/>
      <c r="L200" s="357"/>
      <c r="M200" s="357"/>
      <c r="N200" s="209"/>
      <c r="O200" s="209"/>
      <c r="P200" s="209"/>
      <c r="Q200" s="209"/>
      <c r="R200" s="209"/>
      <c r="S200" s="209"/>
      <c r="T200" s="209"/>
      <c r="U200" s="209"/>
      <c r="V200" s="209"/>
      <c r="W200" s="209"/>
      <c r="X200" s="209"/>
    </row>
    <row r="201" spans="1:24" x14ac:dyDescent="0.25">
      <c r="A201" s="209"/>
      <c r="B201" s="357"/>
      <c r="C201" s="357"/>
      <c r="D201" s="357"/>
      <c r="E201" s="357"/>
      <c r="F201" s="357"/>
      <c r="G201" s="357"/>
      <c r="H201" s="357"/>
      <c r="I201" s="357"/>
      <c r="J201" s="593"/>
      <c r="K201" s="357"/>
      <c r="L201" s="357"/>
      <c r="M201" s="357"/>
      <c r="N201" s="209"/>
      <c r="O201" s="209"/>
      <c r="P201" s="209"/>
      <c r="Q201" s="209"/>
      <c r="R201" s="209"/>
      <c r="S201" s="209"/>
      <c r="T201" s="209"/>
      <c r="U201" s="209"/>
      <c r="V201" s="209"/>
      <c r="W201" s="209"/>
      <c r="X201" s="209"/>
    </row>
    <row r="202" spans="1:24" x14ac:dyDescent="0.25">
      <c r="A202" s="209"/>
      <c r="B202" s="357"/>
      <c r="C202" s="357"/>
      <c r="D202" s="357"/>
      <c r="E202" s="357"/>
      <c r="F202" s="357"/>
      <c r="G202" s="357"/>
      <c r="H202" s="357"/>
      <c r="I202" s="357"/>
      <c r="J202" s="593"/>
      <c r="K202" s="357"/>
      <c r="L202" s="357"/>
      <c r="M202" s="357"/>
      <c r="N202" s="209"/>
      <c r="O202" s="209"/>
      <c r="P202" s="209"/>
      <c r="Q202" s="209"/>
      <c r="R202" s="209"/>
      <c r="S202" s="209"/>
      <c r="T202" s="209"/>
      <c r="U202" s="209"/>
      <c r="V202" s="209"/>
      <c r="W202" s="209"/>
      <c r="X202" s="209"/>
    </row>
    <row r="203" spans="1:24" x14ac:dyDescent="0.25">
      <c r="A203" s="209"/>
      <c r="B203" s="357"/>
      <c r="C203" s="357"/>
      <c r="D203" s="357"/>
      <c r="E203" s="357"/>
      <c r="F203" s="357"/>
      <c r="G203" s="357"/>
      <c r="H203" s="357"/>
      <c r="I203" s="357"/>
      <c r="J203" s="593"/>
      <c r="K203" s="357"/>
      <c r="L203" s="357"/>
      <c r="M203" s="357"/>
      <c r="N203" s="209"/>
      <c r="O203" s="209"/>
      <c r="P203" s="209"/>
      <c r="Q203" s="209"/>
      <c r="R203" s="209"/>
      <c r="S203" s="209"/>
      <c r="T203" s="209"/>
      <c r="U203" s="209"/>
      <c r="V203" s="209"/>
      <c r="W203" s="209"/>
      <c r="X203" s="209"/>
    </row>
    <row r="204" spans="1:24" x14ac:dyDescent="0.25">
      <c r="A204" s="209"/>
      <c r="B204" s="357"/>
      <c r="C204" s="357"/>
      <c r="D204" s="357"/>
      <c r="E204" s="357"/>
      <c r="F204" s="357"/>
      <c r="G204" s="357"/>
      <c r="H204" s="357"/>
      <c r="I204" s="357"/>
      <c r="J204" s="593"/>
      <c r="K204" s="357"/>
      <c r="L204" s="357"/>
      <c r="M204" s="357"/>
      <c r="N204" s="209"/>
      <c r="O204" s="209"/>
      <c r="P204" s="209"/>
      <c r="Q204" s="209"/>
      <c r="R204" s="209"/>
      <c r="S204" s="209"/>
      <c r="T204" s="209"/>
      <c r="U204" s="209"/>
      <c r="V204" s="209"/>
      <c r="W204" s="209"/>
      <c r="X204" s="209"/>
    </row>
    <row r="205" spans="1:24" x14ac:dyDescent="0.25">
      <c r="A205" s="209"/>
      <c r="B205" s="357"/>
      <c r="C205" s="357"/>
      <c r="D205" s="357"/>
      <c r="E205" s="357"/>
      <c r="F205" s="357"/>
      <c r="G205" s="357"/>
      <c r="H205" s="357"/>
      <c r="I205" s="357"/>
      <c r="J205" s="593"/>
      <c r="K205" s="357"/>
      <c r="L205" s="357"/>
      <c r="M205" s="357"/>
      <c r="N205" s="209"/>
      <c r="O205" s="209"/>
      <c r="P205" s="209"/>
      <c r="Q205" s="209"/>
      <c r="R205" s="209"/>
      <c r="S205" s="209"/>
      <c r="T205" s="209"/>
      <c r="U205" s="209"/>
      <c r="V205" s="209"/>
      <c r="W205" s="209"/>
      <c r="X205" s="209"/>
    </row>
    <row r="206" spans="1:24" x14ac:dyDescent="0.25">
      <c r="A206" s="209"/>
      <c r="B206" s="357"/>
      <c r="C206" s="357"/>
      <c r="D206" s="357"/>
      <c r="E206" s="357"/>
      <c r="F206" s="357"/>
      <c r="G206" s="357"/>
      <c r="H206" s="357"/>
      <c r="I206" s="357"/>
      <c r="J206" s="593"/>
      <c r="K206" s="357"/>
      <c r="L206" s="357"/>
      <c r="M206" s="357"/>
      <c r="N206" s="209"/>
      <c r="O206" s="209"/>
      <c r="P206" s="209"/>
      <c r="Q206" s="209"/>
      <c r="R206" s="209"/>
      <c r="S206" s="209"/>
      <c r="T206" s="209"/>
      <c r="U206" s="209"/>
      <c r="V206" s="209"/>
      <c r="W206" s="209"/>
      <c r="X206" s="209"/>
    </row>
    <row r="207" spans="1:24" x14ac:dyDescent="0.25">
      <c r="A207" s="209"/>
      <c r="B207" s="357"/>
      <c r="C207" s="357"/>
      <c r="D207" s="357"/>
      <c r="E207" s="357"/>
      <c r="F207" s="357"/>
      <c r="G207" s="357"/>
      <c r="H207" s="357"/>
      <c r="I207" s="357"/>
      <c r="J207" s="593"/>
      <c r="K207" s="357"/>
      <c r="L207" s="357"/>
      <c r="M207" s="357"/>
      <c r="N207" s="209"/>
      <c r="O207" s="209"/>
      <c r="P207" s="209"/>
      <c r="Q207" s="209"/>
      <c r="R207" s="209"/>
      <c r="S207" s="209"/>
      <c r="T207" s="209"/>
      <c r="U207" s="209"/>
      <c r="V207" s="209"/>
      <c r="W207" s="209"/>
      <c r="X207" s="209"/>
    </row>
    <row r="208" spans="1:24" x14ac:dyDescent="0.25">
      <c r="A208" s="209"/>
      <c r="B208" s="357"/>
      <c r="C208" s="357"/>
      <c r="D208" s="357"/>
      <c r="E208" s="357"/>
      <c r="F208" s="357"/>
      <c r="G208" s="357"/>
      <c r="H208" s="357"/>
      <c r="I208" s="357"/>
      <c r="J208" s="593"/>
      <c r="K208" s="357"/>
      <c r="L208" s="357"/>
      <c r="M208" s="357"/>
      <c r="N208" s="209"/>
      <c r="O208" s="209"/>
      <c r="P208" s="209"/>
      <c r="Q208" s="209"/>
      <c r="R208" s="209"/>
      <c r="S208" s="209"/>
      <c r="T208" s="209"/>
      <c r="U208" s="209"/>
      <c r="V208" s="209"/>
      <c r="W208" s="209"/>
      <c r="X208" s="209"/>
    </row>
    <row r="209" spans="1:24" x14ac:dyDescent="0.25">
      <c r="A209" s="209"/>
      <c r="B209" s="357"/>
      <c r="C209" s="357"/>
      <c r="D209" s="357"/>
      <c r="E209" s="357"/>
      <c r="F209" s="357"/>
      <c r="G209" s="357"/>
      <c r="H209" s="357"/>
      <c r="I209" s="357"/>
      <c r="J209" s="593"/>
      <c r="K209" s="357"/>
      <c r="L209" s="357"/>
      <c r="M209" s="357"/>
      <c r="N209" s="209"/>
      <c r="O209" s="209"/>
      <c r="P209" s="209"/>
      <c r="Q209" s="209"/>
      <c r="R209" s="209"/>
      <c r="S209" s="209"/>
      <c r="T209" s="209"/>
      <c r="U209" s="209"/>
      <c r="V209" s="209"/>
      <c r="W209" s="209"/>
      <c r="X209" s="209"/>
    </row>
    <row r="210" spans="1:24" x14ac:dyDescent="0.25">
      <c r="A210" s="209"/>
      <c r="B210" s="357"/>
      <c r="C210" s="357"/>
      <c r="D210" s="357"/>
      <c r="E210" s="357"/>
      <c r="F210" s="357"/>
      <c r="G210" s="357"/>
      <c r="H210" s="357"/>
      <c r="I210" s="357"/>
      <c r="J210" s="593"/>
      <c r="K210" s="357"/>
      <c r="L210" s="357"/>
      <c r="M210" s="357"/>
      <c r="N210" s="209"/>
      <c r="O210" s="209"/>
      <c r="P210" s="209"/>
      <c r="Q210" s="209"/>
      <c r="R210" s="209"/>
      <c r="S210" s="209"/>
      <c r="T210" s="209"/>
      <c r="U210" s="209"/>
      <c r="V210" s="209"/>
      <c r="W210" s="209"/>
      <c r="X210" s="209"/>
    </row>
    <row r="211" spans="1:24" x14ac:dyDescent="0.25">
      <c r="A211" s="209"/>
      <c r="B211" s="357"/>
      <c r="C211" s="357"/>
      <c r="D211" s="357"/>
      <c r="E211" s="357"/>
      <c r="F211" s="357"/>
      <c r="G211" s="357"/>
      <c r="H211" s="357"/>
      <c r="I211" s="357"/>
      <c r="J211" s="593"/>
      <c r="K211" s="357"/>
      <c r="L211" s="357"/>
      <c r="M211" s="357"/>
      <c r="N211" s="209"/>
      <c r="O211" s="209"/>
      <c r="P211" s="209"/>
      <c r="Q211" s="209"/>
      <c r="R211" s="209"/>
      <c r="S211" s="209"/>
      <c r="T211" s="209"/>
      <c r="U211" s="209"/>
      <c r="V211" s="209"/>
      <c r="W211" s="209"/>
      <c r="X211" s="209"/>
    </row>
    <row r="212" spans="1:24" x14ac:dyDescent="0.25">
      <c r="A212" s="209"/>
      <c r="B212" s="357"/>
      <c r="C212" s="357"/>
      <c r="D212" s="357"/>
      <c r="E212" s="357"/>
      <c r="F212" s="357"/>
      <c r="G212" s="357"/>
      <c r="H212" s="357"/>
      <c r="I212" s="357"/>
      <c r="J212" s="593"/>
      <c r="K212" s="357"/>
      <c r="L212" s="357"/>
      <c r="M212" s="357"/>
      <c r="N212" s="209"/>
      <c r="O212" s="209"/>
      <c r="P212" s="209"/>
      <c r="Q212" s="209"/>
      <c r="R212" s="209"/>
      <c r="S212" s="209"/>
      <c r="T212" s="209"/>
      <c r="U212" s="209"/>
      <c r="V212" s="209"/>
      <c r="W212" s="209"/>
      <c r="X212" s="209"/>
    </row>
    <row r="213" spans="1:24" x14ac:dyDescent="0.25">
      <c r="A213" s="209"/>
      <c r="B213" s="357"/>
      <c r="C213" s="357"/>
      <c r="D213" s="357"/>
      <c r="E213" s="357"/>
      <c r="F213" s="357"/>
      <c r="G213" s="357"/>
      <c r="H213" s="357"/>
      <c r="I213" s="357"/>
      <c r="J213" s="593"/>
      <c r="K213" s="357"/>
      <c r="L213" s="357"/>
      <c r="M213" s="357"/>
      <c r="N213" s="209"/>
      <c r="O213" s="209"/>
      <c r="P213" s="209"/>
      <c r="Q213" s="209"/>
      <c r="R213" s="209"/>
      <c r="S213" s="209"/>
      <c r="T213" s="209"/>
      <c r="U213" s="209"/>
      <c r="V213" s="209"/>
      <c r="W213" s="209"/>
      <c r="X213" s="209"/>
    </row>
    <row r="214" spans="1:24" x14ac:dyDescent="0.25">
      <c r="A214" s="209"/>
      <c r="B214" s="357"/>
      <c r="C214" s="357"/>
      <c r="D214" s="357"/>
      <c r="E214" s="357"/>
      <c r="F214" s="357"/>
      <c r="G214" s="357"/>
      <c r="H214" s="357"/>
      <c r="I214" s="357"/>
      <c r="J214" s="593"/>
      <c r="K214" s="357"/>
      <c r="L214" s="357"/>
      <c r="M214" s="357"/>
      <c r="N214" s="209"/>
      <c r="O214" s="209"/>
      <c r="P214" s="209"/>
      <c r="Q214" s="209"/>
      <c r="R214" s="209"/>
      <c r="S214" s="209"/>
      <c r="T214" s="209"/>
      <c r="U214" s="209"/>
      <c r="V214" s="209"/>
      <c r="W214" s="209"/>
      <c r="X214" s="209"/>
    </row>
    <row r="215" spans="1:24" x14ac:dyDescent="0.25">
      <c r="A215" s="209"/>
      <c r="B215" s="357"/>
      <c r="C215" s="357"/>
      <c r="D215" s="357"/>
      <c r="E215" s="357"/>
      <c r="F215" s="357"/>
      <c r="G215" s="357"/>
      <c r="H215" s="357"/>
      <c r="I215" s="357"/>
      <c r="J215" s="593"/>
      <c r="K215" s="357"/>
      <c r="L215" s="357"/>
      <c r="M215" s="357"/>
      <c r="N215" s="209"/>
      <c r="O215" s="209"/>
      <c r="P215" s="209"/>
      <c r="Q215" s="209"/>
      <c r="R215" s="209"/>
      <c r="S215" s="209"/>
      <c r="T215" s="209"/>
      <c r="U215" s="209"/>
      <c r="V215" s="209"/>
      <c r="W215" s="209"/>
      <c r="X215" s="209"/>
    </row>
    <row r="216" spans="1:24" x14ac:dyDescent="0.25">
      <c r="A216" s="209"/>
      <c r="B216" s="357"/>
      <c r="C216" s="357"/>
      <c r="D216" s="357"/>
      <c r="E216" s="357"/>
      <c r="F216" s="357"/>
      <c r="G216" s="357"/>
      <c r="H216" s="357"/>
      <c r="I216" s="357"/>
      <c r="J216" s="593"/>
      <c r="K216" s="357"/>
      <c r="L216" s="357"/>
      <c r="M216" s="357"/>
      <c r="N216" s="209"/>
      <c r="O216" s="209"/>
      <c r="P216" s="209"/>
      <c r="Q216" s="209"/>
      <c r="R216" s="209"/>
      <c r="S216" s="209"/>
      <c r="T216" s="209"/>
      <c r="U216" s="209"/>
      <c r="V216" s="209"/>
      <c r="W216" s="209"/>
      <c r="X216" s="209"/>
    </row>
    <row r="217" spans="1:24" x14ac:dyDescent="0.25">
      <c r="A217" s="209"/>
      <c r="B217" s="357"/>
      <c r="C217" s="357"/>
      <c r="D217" s="357"/>
      <c r="E217" s="357"/>
      <c r="F217" s="357"/>
      <c r="G217" s="357"/>
      <c r="H217" s="357"/>
      <c r="I217" s="357"/>
      <c r="J217" s="593"/>
      <c r="K217" s="357"/>
      <c r="L217" s="357"/>
      <c r="M217" s="357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</row>
    <row r="218" spans="1:24" x14ac:dyDescent="0.25">
      <c r="A218" s="209"/>
      <c r="B218" s="357"/>
      <c r="C218" s="357"/>
      <c r="D218" s="357"/>
      <c r="E218" s="357"/>
      <c r="F218" s="357"/>
      <c r="G218" s="357"/>
      <c r="H218" s="357"/>
      <c r="I218" s="357"/>
      <c r="J218" s="593"/>
      <c r="K218" s="357"/>
      <c r="L218" s="357"/>
      <c r="M218" s="357"/>
      <c r="N218" s="209"/>
      <c r="O218" s="209"/>
      <c r="P218" s="209"/>
      <c r="Q218" s="209"/>
      <c r="R218" s="209"/>
      <c r="S218" s="209"/>
      <c r="T218" s="209"/>
      <c r="U218" s="209"/>
      <c r="V218" s="209"/>
      <c r="W218" s="209"/>
      <c r="X218" s="209"/>
    </row>
    <row r="219" spans="1:24" x14ac:dyDescent="0.25">
      <c r="A219" s="209"/>
      <c r="B219" s="357"/>
      <c r="C219" s="357"/>
      <c r="D219" s="357"/>
      <c r="E219" s="357"/>
      <c r="F219" s="357"/>
      <c r="G219" s="357"/>
      <c r="H219" s="357"/>
      <c r="I219" s="357"/>
      <c r="J219" s="593"/>
      <c r="K219" s="357"/>
      <c r="L219" s="357"/>
      <c r="M219" s="357"/>
      <c r="N219" s="209"/>
      <c r="O219" s="209"/>
      <c r="P219" s="209"/>
      <c r="Q219" s="209"/>
      <c r="R219" s="209"/>
      <c r="S219" s="209"/>
      <c r="T219" s="209"/>
      <c r="U219" s="209"/>
      <c r="V219" s="209"/>
      <c r="W219" s="209"/>
      <c r="X219" s="209"/>
    </row>
    <row r="220" spans="1:24" x14ac:dyDescent="0.25">
      <c r="A220" s="209"/>
      <c r="B220" s="357"/>
      <c r="C220" s="357"/>
      <c r="D220" s="357"/>
      <c r="E220" s="357"/>
      <c r="F220" s="357"/>
      <c r="G220" s="357"/>
      <c r="H220" s="357"/>
      <c r="I220" s="357"/>
      <c r="J220" s="593"/>
      <c r="K220" s="357"/>
      <c r="L220" s="357"/>
      <c r="M220" s="357"/>
      <c r="N220" s="209"/>
      <c r="O220" s="209"/>
      <c r="P220" s="209"/>
      <c r="Q220" s="209"/>
      <c r="R220" s="209"/>
      <c r="S220" s="209"/>
      <c r="T220" s="209"/>
      <c r="U220" s="209"/>
      <c r="V220" s="209"/>
      <c r="W220" s="209"/>
      <c r="X220" s="209"/>
    </row>
    <row r="221" spans="1:24" x14ac:dyDescent="0.25">
      <c r="A221" s="209"/>
      <c r="B221" s="357"/>
      <c r="C221" s="357"/>
      <c r="D221" s="357"/>
      <c r="E221" s="357"/>
      <c r="F221" s="357"/>
      <c r="G221" s="357"/>
      <c r="H221" s="357"/>
      <c r="I221" s="357"/>
      <c r="J221" s="593"/>
      <c r="K221" s="357"/>
      <c r="L221" s="357"/>
      <c r="M221" s="357"/>
      <c r="N221" s="209"/>
      <c r="O221" s="209"/>
      <c r="P221" s="209"/>
      <c r="Q221" s="209"/>
      <c r="R221" s="209"/>
      <c r="S221" s="209"/>
      <c r="T221" s="209"/>
      <c r="U221" s="209"/>
      <c r="V221" s="209"/>
      <c r="W221" s="209"/>
      <c r="X221" s="209"/>
    </row>
    <row r="222" spans="1:24" x14ac:dyDescent="0.25">
      <c r="A222" s="209"/>
      <c r="B222" s="357"/>
      <c r="C222" s="357"/>
      <c r="D222" s="357"/>
      <c r="E222" s="357"/>
      <c r="F222" s="357"/>
      <c r="G222" s="357"/>
      <c r="H222" s="357"/>
      <c r="I222" s="357"/>
      <c r="J222" s="593"/>
      <c r="K222" s="357"/>
      <c r="L222" s="357"/>
      <c r="M222" s="357"/>
      <c r="N222" s="209"/>
      <c r="O222" s="209"/>
      <c r="P222" s="209"/>
      <c r="Q222" s="209"/>
      <c r="R222" s="209"/>
      <c r="S222" s="209"/>
      <c r="T222" s="209"/>
      <c r="U222" s="209"/>
      <c r="V222" s="209"/>
      <c r="W222" s="209"/>
      <c r="X222" s="209"/>
    </row>
    <row r="223" spans="1:24" x14ac:dyDescent="0.25">
      <c r="A223" s="209"/>
      <c r="B223" s="357"/>
      <c r="C223" s="357"/>
      <c r="D223" s="357"/>
      <c r="E223" s="357"/>
      <c r="F223" s="357"/>
      <c r="G223" s="357"/>
      <c r="H223" s="357"/>
      <c r="I223" s="357"/>
      <c r="J223" s="593"/>
      <c r="K223" s="357"/>
      <c r="L223" s="357"/>
      <c r="M223" s="357"/>
      <c r="N223" s="209"/>
      <c r="O223" s="209"/>
      <c r="P223" s="209"/>
      <c r="Q223" s="209"/>
      <c r="R223" s="209"/>
      <c r="S223" s="209"/>
      <c r="T223" s="209"/>
      <c r="U223" s="209"/>
      <c r="V223" s="209"/>
      <c r="W223" s="209"/>
      <c r="X223" s="209"/>
    </row>
    <row r="224" spans="1:24" x14ac:dyDescent="0.25">
      <c r="A224" s="209"/>
      <c r="B224" s="357"/>
      <c r="C224" s="357"/>
      <c r="D224" s="357"/>
      <c r="E224" s="357"/>
      <c r="F224" s="357"/>
      <c r="G224" s="357"/>
      <c r="H224" s="357"/>
      <c r="I224" s="357"/>
      <c r="J224" s="593"/>
      <c r="K224" s="357"/>
      <c r="L224" s="357"/>
      <c r="M224" s="357"/>
      <c r="N224" s="209"/>
      <c r="O224" s="209"/>
      <c r="P224" s="209"/>
      <c r="Q224" s="209"/>
      <c r="R224" s="209"/>
      <c r="S224" s="209"/>
      <c r="T224" s="209"/>
      <c r="U224" s="209"/>
      <c r="V224" s="209"/>
      <c r="W224" s="209"/>
      <c r="X224" s="209"/>
    </row>
    <row r="225" spans="1:24" x14ac:dyDescent="0.25">
      <c r="A225" s="209"/>
      <c r="B225" s="357"/>
      <c r="C225" s="357"/>
      <c r="D225" s="357"/>
      <c r="E225" s="357"/>
      <c r="F225" s="357"/>
      <c r="G225" s="357"/>
      <c r="H225" s="357"/>
      <c r="I225" s="357"/>
      <c r="J225" s="593"/>
      <c r="K225" s="357"/>
      <c r="L225" s="357"/>
      <c r="M225" s="357"/>
      <c r="N225" s="209"/>
      <c r="O225" s="209"/>
      <c r="P225" s="209"/>
      <c r="Q225" s="209"/>
      <c r="R225" s="209"/>
      <c r="S225" s="209"/>
      <c r="T225" s="209"/>
      <c r="U225" s="209"/>
      <c r="V225" s="209"/>
      <c r="W225" s="209"/>
      <c r="X225" s="209"/>
    </row>
    <row r="226" spans="1:24" x14ac:dyDescent="0.25">
      <c r="A226" s="209"/>
      <c r="B226" s="357"/>
      <c r="C226" s="357"/>
      <c r="D226" s="357"/>
      <c r="E226" s="357"/>
      <c r="F226" s="357"/>
      <c r="G226" s="357"/>
      <c r="H226" s="357"/>
      <c r="I226" s="357"/>
      <c r="J226" s="593"/>
      <c r="K226" s="357"/>
      <c r="L226" s="357"/>
      <c r="M226" s="357"/>
      <c r="N226" s="209"/>
      <c r="O226" s="209"/>
      <c r="P226" s="209"/>
      <c r="Q226" s="209"/>
      <c r="R226" s="209"/>
      <c r="S226" s="209"/>
      <c r="T226" s="209"/>
      <c r="U226" s="209"/>
      <c r="V226" s="209"/>
      <c r="W226" s="209"/>
      <c r="X226" s="209"/>
    </row>
    <row r="227" spans="1:24" x14ac:dyDescent="0.25">
      <c r="A227" s="209"/>
      <c r="B227" s="357"/>
      <c r="C227" s="357"/>
      <c r="D227" s="357"/>
      <c r="E227" s="357"/>
      <c r="F227" s="357"/>
      <c r="G227" s="357"/>
      <c r="H227" s="357"/>
      <c r="I227" s="357"/>
      <c r="J227" s="593"/>
      <c r="K227" s="357"/>
      <c r="L227" s="357"/>
      <c r="M227" s="357"/>
      <c r="N227" s="209"/>
      <c r="O227" s="209"/>
      <c r="P227" s="209"/>
      <c r="Q227" s="209"/>
      <c r="R227" s="209"/>
      <c r="S227" s="209"/>
      <c r="T227" s="209"/>
      <c r="U227" s="209"/>
      <c r="V227" s="209"/>
      <c r="W227" s="209"/>
      <c r="X227" s="209"/>
    </row>
    <row r="228" spans="1:24" x14ac:dyDescent="0.25">
      <c r="A228" s="209"/>
      <c r="B228" s="357"/>
      <c r="C228" s="357"/>
      <c r="D228" s="357"/>
      <c r="E228" s="357"/>
      <c r="F228" s="357"/>
      <c r="G228" s="357"/>
      <c r="H228" s="357"/>
      <c r="I228" s="357"/>
      <c r="J228" s="593"/>
      <c r="K228" s="357"/>
      <c r="L228" s="357"/>
      <c r="M228" s="357"/>
      <c r="N228" s="209"/>
      <c r="O228" s="209"/>
      <c r="P228" s="209"/>
      <c r="Q228" s="209"/>
      <c r="R228" s="209"/>
      <c r="S228" s="209"/>
      <c r="T228" s="209"/>
      <c r="U228" s="209"/>
      <c r="V228" s="209"/>
      <c r="W228" s="209"/>
      <c r="X228" s="209"/>
    </row>
    <row r="229" spans="1:24" x14ac:dyDescent="0.25">
      <c r="A229" s="209"/>
      <c r="B229" s="357"/>
      <c r="C229" s="357"/>
      <c r="D229" s="357"/>
      <c r="E229" s="357"/>
      <c r="F229" s="357"/>
      <c r="G229" s="357"/>
      <c r="H229" s="357"/>
      <c r="I229" s="357"/>
      <c r="J229" s="593"/>
      <c r="K229" s="357"/>
      <c r="L229" s="357"/>
      <c r="M229" s="357"/>
      <c r="N229" s="209"/>
      <c r="O229" s="209"/>
      <c r="P229" s="209"/>
      <c r="Q229" s="209"/>
      <c r="R229" s="209"/>
      <c r="S229" s="209"/>
      <c r="T229" s="209"/>
      <c r="U229" s="209"/>
      <c r="V229" s="209"/>
      <c r="W229" s="209"/>
      <c r="X229" s="209"/>
    </row>
    <row r="230" spans="1:24" x14ac:dyDescent="0.25">
      <c r="A230" s="209"/>
      <c r="B230" s="357"/>
      <c r="C230" s="357"/>
      <c r="D230" s="357"/>
      <c r="E230" s="357"/>
      <c r="F230" s="357"/>
      <c r="G230" s="357"/>
      <c r="H230" s="357"/>
      <c r="I230" s="357"/>
      <c r="J230" s="593"/>
      <c r="K230" s="357"/>
      <c r="L230" s="357"/>
      <c r="M230" s="357"/>
      <c r="N230" s="209"/>
      <c r="O230" s="209"/>
      <c r="P230" s="209"/>
      <c r="Q230" s="209"/>
      <c r="R230" s="209"/>
      <c r="S230" s="209"/>
      <c r="T230" s="209"/>
      <c r="U230" s="209"/>
      <c r="V230" s="209"/>
      <c r="W230" s="209"/>
      <c r="X230" s="209"/>
    </row>
    <row r="231" spans="1:24" x14ac:dyDescent="0.25">
      <c r="A231" s="209"/>
      <c r="B231" s="357"/>
      <c r="C231" s="357"/>
      <c r="D231" s="357"/>
      <c r="E231" s="357"/>
      <c r="F231" s="357"/>
      <c r="G231" s="357"/>
      <c r="H231" s="357"/>
      <c r="I231" s="357"/>
      <c r="J231" s="593"/>
      <c r="K231" s="357"/>
      <c r="L231" s="357"/>
      <c r="M231" s="357"/>
      <c r="N231" s="209"/>
      <c r="O231" s="209"/>
      <c r="P231" s="209"/>
      <c r="Q231" s="209"/>
      <c r="R231" s="209"/>
      <c r="S231" s="209"/>
      <c r="T231" s="209"/>
      <c r="U231" s="209"/>
      <c r="V231" s="209"/>
      <c r="W231" s="209"/>
      <c r="X231" s="209"/>
    </row>
    <row r="232" spans="1:24" x14ac:dyDescent="0.25">
      <c r="A232" s="209"/>
      <c r="B232" s="357"/>
      <c r="C232" s="357"/>
      <c r="D232" s="357"/>
      <c r="E232" s="357"/>
      <c r="F232" s="357"/>
      <c r="G232" s="357"/>
      <c r="H232" s="357"/>
      <c r="I232" s="357"/>
      <c r="J232" s="593"/>
      <c r="K232" s="357"/>
      <c r="L232" s="357"/>
      <c r="M232" s="357"/>
      <c r="N232" s="209"/>
      <c r="O232" s="209"/>
      <c r="P232" s="209"/>
      <c r="Q232" s="209"/>
      <c r="R232" s="209"/>
      <c r="S232" s="209"/>
      <c r="T232" s="209"/>
      <c r="U232" s="209"/>
      <c r="V232" s="209"/>
      <c r="W232" s="209"/>
      <c r="X232" s="209"/>
    </row>
    <row r="233" spans="1:24" x14ac:dyDescent="0.25">
      <c r="A233" s="209"/>
      <c r="B233" s="357"/>
      <c r="C233" s="357"/>
      <c r="D233" s="357"/>
      <c r="E233" s="357"/>
      <c r="F233" s="357"/>
      <c r="G233" s="357"/>
      <c r="H233" s="357"/>
      <c r="I233" s="357"/>
      <c r="J233" s="593"/>
      <c r="K233" s="357"/>
      <c r="L233" s="357"/>
      <c r="M233" s="357"/>
      <c r="N233" s="209"/>
      <c r="O233" s="209"/>
      <c r="P233" s="209"/>
      <c r="Q233" s="209"/>
      <c r="R233" s="209"/>
      <c r="S233" s="209"/>
      <c r="T233" s="209"/>
      <c r="U233" s="209"/>
      <c r="V233" s="209"/>
      <c r="W233" s="209"/>
      <c r="X233" s="209"/>
    </row>
    <row r="234" spans="1:24" x14ac:dyDescent="0.25">
      <c r="A234" s="209"/>
      <c r="B234" s="357"/>
      <c r="C234" s="357"/>
      <c r="D234" s="357"/>
      <c r="E234" s="357"/>
      <c r="F234" s="357"/>
      <c r="G234" s="357"/>
      <c r="H234" s="357"/>
      <c r="I234" s="357"/>
      <c r="J234" s="593"/>
      <c r="K234" s="357"/>
      <c r="L234" s="357"/>
      <c r="M234" s="357"/>
      <c r="N234" s="209"/>
      <c r="O234" s="209"/>
      <c r="P234" s="209"/>
      <c r="Q234" s="209"/>
      <c r="R234" s="209"/>
      <c r="S234" s="209"/>
      <c r="T234" s="209"/>
      <c r="U234" s="209"/>
      <c r="V234" s="209"/>
      <c r="W234" s="209"/>
      <c r="X234" s="209"/>
    </row>
    <row r="235" spans="1:24" x14ac:dyDescent="0.25">
      <c r="A235" s="209"/>
      <c r="B235" s="357"/>
      <c r="C235" s="357"/>
      <c r="D235" s="357"/>
      <c r="E235" s="357"/>
      <c r="F235" s="357"/>
      <c r="G235" s="357"/>
      <c r="H235" s="357"/>
      <c r="I235" s="357"/>
      <c r="J235" s="593"/>
      <c r="K235" s="357"/>
      <c r="L235" s="357"/>
      <c r="M235" s="357"/>
      <c r="N235" s="209"/>
      <c r="O235" s="209"/>
      <c r="P235" s="209"/>
      <c r="Q235" s="209"/>
      <c r="R235" s="209"/>
      <c r="S235" s="209"/>
      <c r="T235" s="209"/>
      <c r="U235" s="209"/>
      <c r="V235" s="209"/>
      <c r="W235" s="209"/>
      <c r="X235" s="209"/>
    </row>
    <row r="236" spans="1:24" x14ac:dyDescent="0.25">
      <c r="A236" s="209"/>
      <c r="B236" s="357"/>
      <c r="C236" s="357"/>
      <c r="D236" s="357"/>
      <c r="E236" s="357"/>
      <c r="F236" s="357"/>
      <c r="G236" s="357"/>
      <c r="H236" s="357"/>
      <c r="I236" s="357"/>
      <c r="J236" s="593"/>
      <c r="K236" s="357"/>
      <c r="L236" s="357"/>
      <c r="M236" s="357"/>
      <c r="N236" s="209"/>
      <c r="O236" s="209"/>
      <c r="P236" s="209"/>
      <c r="Q236" s="209"/>
      <c r="R236" s="209"/>
      <c r="S236" s="209"/>
      <c r="T236" s="209"/>
      <c r="U236" s="209"/>
      <c r="V236" s="209"/>
      <c r="W236" s="209"/>
      <c r="X236" s="209"/>
    </row>
    <row r="237" spans="1:24" x14ac:dyDescent="0.25">
      <c r="A237" s="209"/>
      <c r="B237" s="357"/>
      <c r="C237" s="357"/>
      <c r="D237" s="357"/>
      <c r="E237" s="357"/>
      <c r="F237" s="357"/>
      <c r="G237" s="357"/>
      <c r="H237" s="357"/>
      <c r="I237" s="357"/>
      <c r="J237" s="593"/>
      <c r="K237" s="357"/>
      <c r="L237" s="357"/>
      <c r="M237" s="357"/>
      <c r="N237" s="209"/>
      <c r="O237" s="209"/>
      <c r="P237" s="209"/>
      <c r="Q237" s="209"/>
      <c r="R237" s="209"/>
      <c r="S237" s="209"/>
      <c r="T237" s="209"/>
      <c r="U237" s="209"/>
      <c r="V237" s="209"/>
      <c r="W237" s="209"/>
      <c r="X237" s="209"/>
    </row>
    <row r="238" spans="1:24" x14ac:dyDescent="0.25">
      <c r="A238" s="209"/>
      <c r="B238" s="357"/>
      <c r="C238" s="357"/>
      <c r="D238" s="357"/>
      <c r="E238" s="357"/>
      <c r="F238" s="357"/>
      <c r="G238" s="357"/>
      <c r="H238" s="357"/>
      <c r="I238" s="357"/>
      <c r="J238" s="593"/>
      <c r="K238" s="357"/>
      <c r="L238" s="357"/>
      <c r="M238" s="357"/>
      <c r="N238" s="209"/>
      <c r="O238" s="209"/>
      <c r="P238" s="209"/>
      <c r="Q238" s="209"/>
      <c r="R238" s="209"/>
      <c r="S238" s="209"/>
      <c r="T238" s="209"/>
      <c r="U238" s="209"/>
      <c r="V238" s="209"/>
      <c r="W238" s="209"/>
      <c r="X238" s="209"/>
    </row>
    <row r="239" spans="1:24" x14ac:dyDescent="0.25">
      <c r="A239" s="209"/>
      <c r="B239" s="357"/>
      <c r="C239" s="357"/>
      <c r="D239" s="357"/>
      <c r="E239" s="357"/>
      <c r="F239" s="357"/>
      <c r="G239" s="357"/>
      <c r="H239" s="357"/>
      <c r="I239" s="357"/>
      <c r="J239" s="593"/>
      <c r="K239" s="357"/>
      <c r="L239" s="357"/>
      <c r="M239" s="357"/>
      <c r="N239" s="209"/>
      <c r="O239" s="209"/>
      <c r="P239" s="209"/>
      <c r="Q239" s="209"/>
      <c r="R239" s="209"/>
      <c r="S239" s="209"/>
      <c r="T239" s="209"/>
      <c r="U239" s="209"/>
      <c r="V239" s="209"/>
      <c r="W239" s="209"/>
      <c r="X239" s="209"/>
    </row>
    <row r="240" spans="1:24" x14ac:dyDescent="0.25">
      <c r="A240" s="209"/>
      <c r="B240" s="357"/>
      <c r="C240" s="357"/>
      <c r="D240" s="357"/>
      <c r="E240" s="357"/>
      <c r="F240" s="357"/>
      <c r="G240" s="357"/>
      <c r="H240" s="357"/>
      <c r="I240" s="357"/>
      <c r="J240" s="593"/>
      <c r="K240" s="357"/>
      <c r="L240" s="357"/>
      <c r="M240" s="357"/>
      <c r="N240" s="209"/>
      <c r="O240" s="209"/>
      <c r="P240" s="209"/>
      <c r="Q240" s="209"/>
      <c r="R240" s="209"/>
      <c r="S240" s="209"/>
      <c r="T240" s="209"/>
      <c r="U240" s="209"/>
      <c r="V240" s="209"/>
      <c r="W240" s="209"/>
      <c r="X240" s="209"/>
    </row>
    <row r="241" spans="1:24" x14ac:dyDescent="0.25">
      <c r="A241" s="209"/>
      <c r="B241" s="357"/>
      <c r="C241" s="357"/>
      <c r="D241" s="357"/>
      <c r="E241" s="357"/>
      <c r="F241" s="357"/>
      <c r="G241" s="357"/>
      <c r="H241" s="357"/>
      <c r="I241" s="357"/>
      <c r="J241" s="593"/>
      <c r="K241" s="357"/>
      <c r="L241" s="357"/>
      <c r="M241" s="357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</row>
    <row r="242" spans="1:24" x14ac:dyDescent="0.25">
      <c r="A242" s="209"/>
      <c r="B242" s="357"/>
      <c r="C242" s="357"/>
      <c r="D242" s="357"/>
      <c r="E242" s="357"/>
      <c r="F242" s="357"/>
      <c r="G242" s="357"/>
      <c r="H242" s="357"/>
      <c r="I242" s="357"/>
      <c r="J242" s="593"/>
      <c r="K242" s="357"/>
      <c r="L242" s="357"/>
      <c r="M242" s="357"/>
      <c r="N242" s="209"/>
      <c r="O242" s="209"/>
      <c r="P242" s="209"/>
      <c r="Q242" s="209"/>
      <c r="R242" s="209"/>
      <c r="S242" s="209"/>
      <c r="T242" s="209"/>
      <c r="U242" s="209"/>
      <c r="V242" s="209"/>
      <c r="W242" s="209"/>
      <c r="X242" s="209"/>
    </row>
    <row r="243" spans="1:24" x14ac:dyDescent="0.25">
      <c r="A243" s="209"/>
      <c r="B243" s="357"/>
      <c r="C243" s="357"/>
      <c r="D243" s="357"/>
      <c r="E243" s="357"/>
      <c r="F243" s="357"/>
      <c r="G243" s="357"/>
      <c r="H243" s="357"/>
      <c r="I243" s="357"/>
      <c r="J243" s="593"/>
      <c r="K243" s="357"/>
      <c r="L243" s="357"/>
      <c r="M243" s="357"/>
      <c r="N243" s="209"/>
      <c r="O243" s="209"/>
      <c r="P243" s="209"/>
      <c r="Q243" s="209"/>
      <c r="R243" s="209"/>
      <c r="S243" s="209"/>
      <c r="T243" s="209"/>
      <c r="U243" s="209"/>
      <c r="V243" s="209"/>
      <c r="W243" s="209"/>
      <c r="X243" s="209"/>
    </row>
    <row r="244" spans="1:24" x14ac:dyDescent="0.25">
      <c r="A244" s="209"/>
      <c r="B244" s="357"/>
      <c r="C244" s="357"/>
      <c r="D244" s="357"/>
      <c r="E244" s="357"/>
      <c r="F244" s="357"/>
      <c r="G244" s="357"/>
      <c r="H244" s="357"/>
      <c r="I244" s="357"/>
      <c r="J244" s="593"/>
      <c r="K244" s="357"/>
      <c r="L244" s="357"/>
      <c r="M244" s="357"/>
      <c r="N244" s="209"/>
      <c r="O244" s="209"/>
      <c r="P244" s="209"/>
      <c r="Q244" s="209"/>
      <c r="R244" s="209"/>
      <c r="S244" s="209"/>
      <c r="T244" s="209"/>
      <c r="U244" s="209"/>
      <c r="V244" s="209"/>
      <c r="W244" s="209"/>
      <c r="X244" s="209"/>
    </row>
    <row r="245" spans="1:24" x14ac:dyDescent="0.25">
      <c r="A245" s="209"/>
      <c r="B245" s="357"/>
      <c r="C245" s="357"/>
      <c r="D245" s="357"/>
      <c r="E245" s="357"/>
      <c r="F245" s="357"/>
      <c r="G245" s="357"/>
      <c r="H245" s="357"/>
      <c r="I245" s="357"/>
      <c r="J245" s="593"/>
      <c r="K245" s="357"/>
      <c r="L245" s="357"/>
      <c r="M245" s="357"/>
      <c r="N245" s="209"/>
      <c r="O245" s="209"/>
      <c r="P245" s="209"/>
      <c r="Q245" s="209"/>
      <c r="R245" s="209"/>
      <c r="S245" s="209"/>
      <c r="T245" s="209"/>
      <c r="U245" s="209"/>
      <c r="V245" s="209"/>
      <c r="W245" s="209"/>
      <c r="X245" s="209"/>
    </row>
    <row r="246" spans="1:24" x14ac:dyDescent="0.25">
      <c r="A246" s="209"/>
      <c r="B246" s="357"/>
      <c r="C246" s="357"/>
      <c r="D246" s="357"/>
      <c r="E246" s="357"/>
      <c r="F246" s="357"/>
      <c r="G246" s="357"/>
      <c r="H246" s="357"/>
      <c r="I246" s="357"/>
      <c r="J246" s="593"/>
      <c r="K246" s="357"/>
      <c r="L246" s="357"/>
      <c r="M246" s="357"/>
      <c r="N246" s="209"/>
      <c r="O246" s="209"/>
      <c r="P246" s="209"/>
      <c r="Q246" s="209"/>
      <c r="R246" s="209"/>
      <c r="S246" s="209"/>
      <c r="T246" s="209"/>
      <c r="U246" s="209"/>
      <c r="V246" s="209"/>
      <c r="W246" s="209"/>
      <c r="X246" s="209"/>
    </row>
    <row r="247" spans="1:24" x14ac:dyDescent="0.25">
      <c r="A247" s="209"/>
      <c r="B247" s="357"/>
      <c r="C247" s="357"/>
      <c r="D247" s="357"/>
      <c r="E247" s="357"/>
      <c r="F247" s="357"/>
      <c r="G247" s="357"/>
      <c r="H247" s="357"/>
      <c r="I247" s="357"/>
      <c r="J247" s="593"/>
      <c r="K247" s="357"/>
      <c r="L247" s="357"/>
      <c r="M247" s="357"/>
      <c r="N247" s="209"/>
      <c r="O247" s="209"/>
      <c r="P247" s="209"/>
      <c r="Q247" s="209"/>
      <c r="R247" s="209"/>
      <c r="S247" s="209"/>
      <c r="T247" s="209"/>
      <c r="U247" s="209"/>
      <c r="V247" s="209"/>
      <c r="W247" s="209"/>
      <c r="X247" s="209"/>
    </row>
    <row r="248" spans="1:24" x14ac:dyDescent="0.25">
      <c r="A248" s="209"/>
      <c r="B248" s="357"/>
      <c r="C248" s="357"/>
      <c r="D248" s="357"/>
      <c r="E248" s="357"/>
      <c r="F248" s="357"/>
      <c r="G248" s="357"/>
      <c r="H248" s="357"/>
      <c r="I248" s="357"/>
      <c r="J248" s="593"/>
      <c r="K248" s="357"/>
      <c r="L248" s="357"/>
      <c r="M248" s="357"/>
      <c r="N248" s="209"/>
      <c r="O248" s="209"/>
      <c r="P248" s="209"/>
      <c r="Q248" s="209"/>
      <c r="R248" s="209"/>
      <c r="S248" s="209"/>
      <c r="T248" s="209"/>
      <c r="U248" s="209"/>
      <c r="V248" s="209"/>
      <c r="W248" s="209"/>
      <c r="X248" s="209"/>
    </row>
    <row r="249" spans="1:24" x14ac:dyDescent="0.25">
      <c r="A249" s="209"/>
      <c r="B249" s="357"/>
      <c r="C249" s="357"/>
      <c r="D249" s="357"/>
      <c r="E249" s="357"/>
      <c r="F249" s="357"/>
      <c r="G249" s="357"/>
      <c r="H249" s="357"/>
      <c r="I249" s="357"/>
      <c r="J249" s="593"/>
      <c r="K249" s="357"/>
      <c r="L249" s="357"/>
      <c r="M249" s="357"/>
      <c r="N249" s="209"/>
      <c r="O249" s="209"/>
      <c r="P249" s="209"/>
      <c r="Q249" s="209"/>
      <c r="R249" s="209"/>
      <c r="S249" s="209"/>
      <c r="T249" s="209"/>
      <c r="U249" s="209"/>
      <c r="V249" s="209"/>
      <c r="W249" s="209"/>
      <c r="X249" s="209"/>
    </row>
    <row r="250" spans="1:24" x14ac:dyDescent="0.25">
      <c r="A250" s="209"/>
      <c r="B250" s="357"/>
      <c r="C250" s="357"/>
      <c r="D250" s="357"/>
      <c r="E250" s="357"/>
      <c r="F250" s="357"/>
      <c r="G250" s="357"/>
      <c r="H250" s="357"/>
      <c r="I250" s="357"/>
      <c r="J250" s="593"/>
      <c r="K250" s="357"/>
      <c r="L250" s="357"/>
      <c r="M250" s="357"/>
      <c r="N250" s="209"/>
      <c r="O250" s="209"/>
      <c r="P250" s="209"/>
      <c r="Q250" s="209"/>
      <c r="R250" s="209"/>
      <c r="S250" s="209"/>
      <c r="T250" s="209"/>
      <c r="U250" s="209"/>
      <c r="V250" s="209"/>
      <c r="W250" s="209"/>
      <c r="X250" s="209"/>
    </row>
    <row r="251" spans="1:24" x14ac:dyDescent="0.25">
      <c r="A251" s="209"/>
      <c r="B251" s="357"/>
      <c r="C251" s="357"/>
      <c r="D251" s="357"/>
      <c r="E251" s="357"/>
      <c r="F251" s="357"/>
      <c r="G251" s="357"/>
      <c r="H251" s="357"/>
      <c r="I251" s="357"/>
      <c r="J251" s="593"/>
      <c r="K251" s="357"/>
      <c r="L251" s="357"/>
      <c r="M251" s="357"/>
      <c r="N251" s="209"/>
      <c r="O251" s="209"/>
      <c r="P251" s="209"/>
      <c r="Q251" s="209"/>
      <c r="R251" s="209"/>
      <c r="S251" s="209"/>
      <c r="T251" s="209"/>
      <c r="U251" s="209"/>
      <c r="V251" s="209"/>
      <c r="W251" s="209"/>
      <c r="X251" s="209"/>
    </row>
    <row r="252" spans="1:24" x14ac:dyDescent="0.25">
      <c r="A252" s="209"/>
      <c r="B252" s="357"/>
      <c r="C252" s="357"/>
      <c r="D252" s="357"/>
      <c r="E252" s="357"/>
      <c r="F252" s="357"/>
      <c r="G252" s="357"/>
      <c r="H252" s="357"/>
      <c r="I252" s="357"/>
      <c r="J252" s="593"/>
      <c r="K252" s="357"/>
      <c r="L252" s="357"/>
      <c r="M252" s="357"/>
      <c r="N252" s="209"/>
      <c r="O252" s="209"/>
      <c r="P252" s="209"/>
      <c r="Q252" s="209"/>
      <c r="R252" s="209"/>
      <c r="S252" s="209"/>
      <c r="T252" s="209"/>
      <c r="U252" s="209"/>
      <c r="V252" s="209"/>
      <c r="W252" s="209"/>
      <c r="X252" s="209"/>
    </row>
    <row r="253" spans="1:24" x14ac:dyDescent="0.25">
      <c r="A253" s="209"/>
      <c r="B253" s="357"/>
      <c r="C253" s="357"/>
      <c r="D253" s="357"/>
      <c r="E253" s="357"/>
      <c r="F253" s="357"/>
      <c r="G253" s="357"/>
      <c r="H253" s="357"/>
      <c r="I253" s="357"/>
      <c r="J253" s="593"/>
      <c r="K253" s="357"/>
      <c r="L253" s="357"/>
      <c r="M253" s="357"/>
      <c r="N253" s="209"/>
      <c r="O253" s="209"/>
      <c r="P253" s="209"/>
      <c r="Q253" s="209"/>
      <c r="R253" s="209"/>
      <c r="S253" s="209"/>
      <c r="T253" s="209"/>
      <c r="U253" s="209"/>
      <c r="V253" s="209"/>
      <c r="W253" s="209"/>
      <c r="X253" s="209"/>
    </row>
    <row r="254" spans="1:24" x14ac:dyDescent="0.25">
      <c r="A254" s="209"/>
      <c r="B254" s="357"/>
      <c r="C254" s="357"/>
      <c r="D254" s="357"/>
      <c r="E254" s="357"/>
      <c r="F254" s="357"/>
      <c r="G254" s="357"/>
      <c r="H254" s="357"/>
      <c r="I254" s="357"/>
      <c r="J254" s="593"/>
      <c r="K254" s="357"/>
      <c r="L254" s="357"/>
      <c r="M254" s="357"/>
      <c r="N254" s="209"/>
      <c r="O254" s="209"/>
      <c r="P254" s="209"/>
      <c r="Q254" s="209"/>
      <c r="R254" s="209"/>
      <c r="S254" s="209"/>
      <c r="T254" s="209"/>
      <c r="U254" s="209"/>
      <c r="V254" s="209"/>
      <c r="W254" s="209"/>
      <c r="X254" s="209"/>
    </row>
    <row r="255" spans="1:24" x14ac:dyDescent="0.25">
      <c r="A255" s="209"/>
      <c r="B255" s="357"/>
      <c r="C255" s="357"/>
      <c r="D255" s="357"/>
      <c r="E255" s="357"/>
      <c r="F255" s="357"/>
      <c r="G255" s="357"/>
      <c r="H255" s="357"/>
      <c r="I255" s="357"/>
      <c r="J255" s="593"/>
      <c r="K255" s="357"/>
      <c r="L255" s="357"/>
      <c r="M255" s="357"/>
      <c r="N255" s="209"/>
      <c r="O255" s="209"/>
      <c r="P255" s="209"/>
      <c r="Q255" s="209"/>
      <c r="R255" s="209"/>
      <c r="S255" s="209"/>
      <c r="T255" s="209"/>
      <c r="U255" s="209"/>
      <c r="V255" s="209"/>
      <c r="W255" s="209"/>
      <c r="X255" s="209"/>
    </row>
    <row r="256" spans="1:24" x14ac:dyDescent="0.25">
      <c r="A256" s="209"/>
      <c r="B256" s="357"/>
      <c r="C256" s="357"/>
      <c r="D256" s="357"/>
      <c r="E256" s="357"/>
      <c r="F256" s="357"/>
      <c r="G256" s="357"/>
      <c r="H256" s="357"/>
      <c r="I256" s="357"/>
      <c r="J256" s="593"/>
      <c r="K256" s="357"/>
      <c r="L256" s="357"/>
      <c r="M256" s="357"/>
      <c r="N256" s="209"/>
      <c r="O256" s="209"/>
      <c r="P256" s="209"/>
      <c r="Q256" s="209"/>
      <c r="R256" s="209"/>
      <c r="S256" s="209"/>
      <c r="T256" s="209"/>
      <c r="U256" s="209"/>
      <c r="V256" s="209"/>
      <c r="W256" s="209"/>
      <c r="X256" s="209"/>
    </row>
    <row r="257" spans="1:24" x14ac:dyDescent="0.25">
      <c r="A257" s="209"/>
      <c r="B257" s="357"/>
      <c r="C257" s="357"/>
      <c r="D257" s="357"/>
      <c r="E257" s="357"/>
      <c r="F257" s="357"/>
      <c r="G257" s="357"/>
      <c r="H257" s="357"/>
      <c r="I257" s="357"/>
      <c r="J257" s="593"/>
      <c r="K257" s="357"/>
      <c r="L257" s="357"/>
      <c r="M257" s="357"/>
      <c r="N257" s="209"/>
      <c r="O257" s="209"/>
      <c r="P257" s="209"/>
      <c r="Q257" s="209"/>
      <c r="R257" s="209"/>
      <c r="S257" s="209"/>
      <c r="T257" s="209"/>
      <c r="U257" s="209"/>
      <c r="V257" s="209"/>
      <c r="W257" s="209"/>
      <c r="X257" s="209"/>
    </row>
    <row r="258" spans="1:24" x14ac:dyDescent="0.25">
      <c r="A258" s="209"/>
      <c r="B258" s="357"/>
      <c r="C258" s="357"/>
      <c r="D258" s="357"/>
      <c r="E258" s="357"/>
      <c r="F258" s="357"/>
      <c r="G258" s="357"/>
      <c r="H258" s="357"/>
      <c r="I258" s="357"/>
      <c r="J258" s="593"/>
      <c r="K258" s="357"/>
      <c r="L258" s="357"/>
      <c r="M258" s="357"/>
      <c r="N258" s="209"/>
      <c r="O258" s="209"/>
      <c r="P258" s="209"/>
      <c r="Q258" s="209"/>
      <c r="R258" s="209"/>
      <c r="S258" s="209"/>
      <c r="T258" s="209"/>
      <c r="U258" s="209"/>
      <c r="V258" s="209"/>
      <c r="W258" s="209"/>
      <c r="X258" s="209"/>
    </row>
    <row r="259" spans="1:24" x14ac:dyDescent="0.25">
      <c r="A259" s="209"/>
      <c r="B259" s="357"/>
      <c r="C259" s="357"/>
      <c r="D259" s="357"/>
      <c r="E259" s="357"/>
      <c r="F259" s="357"/>
      <c r="G259" s="357"/>
      <c r="H259" s="357"/>
      <c r="I259" s="357"/>
      <c r="J259" s="593"/>
      <c r="K259" s="357"/>
      <c r="L259" s="357"/>
      <c r="M259" s="357"/>
      <c r="N259" s="209"/>
      <c r="O259" s="209"/>
      <c r="P259" s="209"/>
      <c r="Q259" s="209"/>
      <c r="R259" s="209"/>
      <c r="S259" s="209"/>
      <c r="T259" s="209"/>
      <c r="U259" s="209"/>
      <c r="V259" s="209"/>
      <c r="W259" s="209"/>
      <c r="X259" s="209"/>
    </row>
    <row r="260" spans="1:24" x14ac:dyDescent="0.25">
      <c r="A260" s="209"/>
      <c r="B260" s="357"/>
      <c r="C260" s="357"/>
      <c r="D260" s="357"/>
      <c r="E260" s="357"/>
      <c r="F260" s="357"/>
      <c r="G260" s="357"/>
      <c r="H260" s="357"/>
      <c r="I260" s="357"/>
      <c r="J260" s="593"/>
      <c r="K260" s="357"/>
      <c r="L260" s="357"/>
      <c r="M260" s="357"/>
      <c r="N260" s="209"/>
      <c r="O260" s="209"/>
      <c r="P260" s="209"/>
      <c r="Q260" s="209"/>
      <c r="R260" s="209"/>
      <c r="S260" s="209"/>
      <c r="T260" s="209"/>
      <c r="U260" s="209"/>
      <c r="V260" s="209"/>
      <c r="W260" s="209"/>
      <c r="X260" s="209"/>
    </row>
    <row r="261" spans="1:24" x14ac:dyDescent="0.25">
      <c r="A261" s="209"/>
      <c r="B261" s="357"/>
      <c r="C261" s="357"/>
      <c r="D261" s="357"/>
      <c r="E261" s="357"/>
      <c r="F261" s="357"/>
      <c r="G261" s="357"/>
      <c r="H261" s="357"/>
      <c r="I261" s="357"/>
      <c r="J261" s="593"/>
      <c r="K261" s="357"/>
      <c r="L261" s="357"/>
      <c r="M261" s="357"/>
      <c r="N261" s="209"/>
      <c r="O261" s="209"/>
      <c r="P261" s="209"/>
      <c r="Q261" s="209"/>
      <c r="R261" s="209"/>
      <c r="S261" s="209"/>
      <c r="T261" s="209"/>
      <c r="U261" s="209"/>
      <c r="V261" s="209"/>
      <c r="W261" s="209"/>
      <c r="X261" s="209"/>
    </row>
    <row r="262" spans="1:24" x14ac:dyDescent="0.25">
      <c r="A262" s="209"/>
      <c r="B262" s="357"/>
      <c r="C262" s="357"/>
      <c r="D262" s="357"/>
      <c r="E262" s="357"/>
      <c r="F262" s="357"/>
      <c r="G262" s="357"/>
      <c r="H262" s="357"/>
      <c r="I262" s="357"/>
      <c r="J262" s="593"/>
      <c r="K262" s="357"/>
      <c r="L262" s="357"/>
      <c r="M262" s="357"/>
      <c r="N262" s="209"/>
      <c r="O262" s="209"/>
      <c r="P262" s="209"/>
      <c r="Q262" s="209"/>
      <c r="R262" s="209"/>
      <c r="S262" s="209"/>
      <c r="T262" s="209"/>
      <c r="U262" s="209"/>
      <c r="V262" s="209"/>
      <c r="W262" s="209"/>
      <c r="X262" s="209"/>
    </row>
    <row r="263" spans="1:24" x14ac:dyDescent="0.25">
      <c r="A263" s="209"/>
      <c r="B263" s="357"/>
      <c r="C263" s="357"/>
      <c r="D263" s="357"/>
      <c r="E263" s="357"/>
      <c r="F263" s="357"/>
      <c r="G263" s="357"/>
      <c r="H263" s="357"/>
      <c r="I263" s="357"/>
      <c r="J263" s="593"/>
      <c r="K263" s="357"/>
      <c r="L263" s="357"/>
      <c r="M263" s="357"/>
      <c r="N263" s="209"/>
      <c r="O263" s="209"/>
      <c r="P263" s="209"/>
      <c r="Q263" s="209"/>
      <c r="R263" s="209"/>
      <c r="S263" s="209"/>
      <c r="T263" s="209"/>
      <c r="U263" s="209"/>
      <c r="V263" s="209"/>
      <c r="W263" s="209"/>
      <c r="X263" s="209"/>
    </row>
    <row r="264" spans="1:24" x14ac:dyDescent="0.25">
      <c r="A264" s="209"/>
      <c r="B264" s="357"/>
      <c r="C264" s="357"/>
      <c r="D264" s="357"/>
      <c r="E264" s="357"/>
      <c r="F264" s="357"/>
      <c r="G264" s="357"/>
      <c r="H264" s="357"/>
      <c r="I264" s="357"/>
      <c r="J264" s="593"/>
      <c r="K264" s="357"/>
      <c r="L264" s="357"/>
      <c r="M264" s="357"/>
      <c r="N264" s="209"/>
      <c r="O264" s="209"/>
      <c r="P264" s="209"/>
      <c r="Q264" s="209"/>
      <c r="R264" s="209"/>
      <c r="S264" s="209"/>
      <c r="T264" s="209"/>
      <c r="U264" s="209"/>
      <c r="V264" s="209"/>
      <c r="W264" s="209"/>
      <c r="X264" s="209"/>
    </row>
    <row r="265" spans="1:24" x14ac:dyDescent="0.25">
      <c r="A265" s="209"/>
      <c r="B265" s="357"/>
      <c r="C265" s="357"/>
      <c r="D265" s="357"/>
      <c r="E265" s="357"/>
      <c r="F265" s="357"/>
      <c r="G265" s="357"/>
      <c r="H265" s="357"/>
      <c r="I265" s="357"/>
      <c r="J265" s="593"/>
      <c r="K265" s="357"/>
      <c r="L265" s="357"/>
      <c r="M265" s="357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</row>
    <row r="266" spans="1:24" x14ac:dyDescent="0.25">
      <c r="A266" s="209"/>
      <c r="B266" s="357"/>
      <c r="C266" s="357"/>
      <c r="D266" s="357"/>
      <c r="E266" s="357"/>
      <c r="F266" s="357"/>
      <c r="G266" s="357"/>
      <c r="H266" s="357"/>
      <c r="I266" s="357"/>
      <c r="J266" s="593"/>
      <c r="K266" s="357"/>
      <c r="L266" s="357"/>
      <c r="M266" s="357"/>
      <c r="N266" s="209"/>
      <c r="O266" s="209"/>
      <c r="P266" s="209"/>
      <c r="Q266" s="209"/>
      <c r="R266" s="209"/>
      <c r="S266" s="209"/>
      <c r="T266" s="209"/>
      <c r="U266" s="209"/>
      <c r="V266" s="209"/>
      <c r="W266" s="209"/>
      <c r="X266" s="209"/>
    </row>
    <row r="267" spans="1:24" x14ac:dyDescent="0.25">
      <c r="A267" s="209"/>
      <c r="B267" s="357"/>
      <c r="C267" s="357"/>
      <c r="D267" s="357"/>
      <c r="E267" s="357"/>
      <c r="F267" s="357"/>
      <c r="G267" s="357"/>
      <c r="H267" s="357"/>
      <c r="I267" s="357"/>
      <c r="J267" s="593"/>
      <c r="K267" s="357"/>
      <c r="L267" s="357"/>
      <c r="M267" s="357"/>
      <c r="N267" s="209"/>
      <c r="O267" s="209"/>
      <c r="P267" s="209"/>
      <c r="Q267" s="209"/>
      <c r="R267" s="209"/>
      <c r="S267" s="209"/>
      <c r="T267" s="209"/>
      <c r="U267" s="209"/>
      <c r="V267" s="209"/>
      <c r="W267" s="209"/>
      <c r="X267" s="209"/>
    </row>
    <row r="268" spans="1:24" x14ac:dyDescent="0.25">
      <c r="A268" s="209"/>
      <c r="B268" s="357"/>
      <c r="C268" s="357"/>
      <c r="D268" s="357"/>
      <c r="E268" s="357"/>
      <c r="F268" s="357"/>
      <c r="G268" s="357"/>
      <c r="H268" s="357"/>
      <c r="I268" s="357"/>
      <c r="J268" s="593"/>
      <c r="K268" s="357"/>
      <c r="L268" s="357"/>
      <c r="M268" s="357"/>
      <c r="N268" s="209"/>
      <c r="O268" s="209"/>
      <c r="P268" s="209"/>
      <c r="Q268" s="209"/>
      <c r="R268" s="209"/>
      <c r="S268" s="209"/>
      <c r="T268" s="209"/>
      <c r="U268" s="209"/>
      <c r="V268" s="209"/>
      <c r="W268" s="209"/>
      <c r="X268" s="209"/>
    </row>
    <row r="269" spans="1:24" x14ac:dyDescent="0.25">
      <c r="A269" s="209"/>
      <c r="B269" s="357"/>
      <c r="C269" s="357"/>
      <c r="D269" s="357"/>
      <c r="E269" s="357"/>
      <c r="F269" s="357"/>
      <c r="G269" s="357"/>
      <c r="H269" s="357"/>
      <c r="I269" s="357"/>
      <c r="J269" s="593"/>
      <c r="K269" s="357"/>
      <c r="L269" s="357"/>
      <c r="M269" s="357"/>
      <c r="N269" s="209"/>
      <c r="O269" s="209"/>
      <c r="P269" s="209"/>
      <c r="Q269" s="209"/>
      <c r="R269" s="209"/>
      <c r="S269" s="209"/>
      <c r="T269" s="209"/>
      <c r="U269" s="209"/>
      <c r="V269" s="209"/>
      <c r="W269" s="209"/>
      <c r="X269" s="209"/>
    </row>
    <row r="270" spans="1:24" x14ac:dyDescent="0.25">
      <c r="A270" s="209"/>
      <c r="B270" s="357"/>
      <c r="C270" s="357"/>
      <c r="D270" s="357"/>
      <c r="E270" s="357"/>
      <c r="F270" s="357"/>
      <c r="G270" s="357"/>
      <c r="H270" s="357"/>
      <c r="I270" s="357"/>
      <c r="J270" s="593"/>
      <c r="K270" s="357"/>
      <c r="L270" s="357"/>
      <c r="M270" s="357"/>
      <c r="N270" s="209"/>
      <c r="O270" s="209"/>
      <c r="P270" s="209"/>
      <c r="Q270" s="209"/>
      <c r="R270" s="209"/>
      <c r="S270" s="209"/>
      <c r="T270" s="209"/>
      <c r="U270" s="209"/>
      <c r="V270" s="209"/>
      <c r="W270" s="209"/>
      <c r="X270" s="209"/>
    </row>
    <row r="271" spans="1:24" x14ac:dyDescent="0.25">
      <c r="A271" s="209"/>
      <c r="B271" s="357"/>
      <c r="C271" s="357"/>
      <c r="D271" s="357"/>
      <c r="E271" s="357"/>
      <c r="F271" s="357"/>
      <c r="G271" s="357"/>
      <c r="H271" s="357"/>
      <c r="I271" s="357"/>
      <c r="J271" s="593"/>
      <c r="K271" s="357"/>
      <c r="L271" s="357"/>
      <c r="M271" s="357"/>
      <c r="N271" s="209"/>
      <c r="O271" s="209"/>
      <c r="P271" s="209"/>
      <c r="Q271" s="209"/>
      <c r="R271" s="209"/>
      <c r="S271" s="209"/>
      <c r="T271" s="209"/>
      <c r="U271" s="209"/>
      <c r="V271" s="209"/>
      <c r="W271" s="209"/>
      <c r="X271" s="209"/>
    </row>
    <row r="272" spans="1:24" x14ac:dyDescent="0.25">
      <c r="A272" s="209"/>
      <c r="B272" s="357"/>
      <c r="C272" s="357"/>
      <c r="D272" s="357"/>
      <c r="E272" s="357"/>
      <c r="F272" s="357"/>
      <c r="G272" s="357"/>
      <c r="H272" s="357"/>
      <c r="I272" s="357"/>
      <c r="J272" s="593"/>
      <c r="K272" s="357"/>
      <c r="L272" s="357"/>
      <c r="M272" s="357"/>
      <c r="N272" s="209"/>
      <c r="O272" s="209"/>
      <c r="P272" s="209"/>
      <c r="Q272" s="209"/>
      <c r="R272" s="209"/>
      <c r="S272" s="209"/>
      <c r="T272" s="209"/>
      <c r="U272" s="209"/>
      <c r="V272" s="209"/>
      <c r="W272" s="209"/>
      <c r="X272" s="209"/>
    </row>
    <row r="273" spans="1:24" x14ac:dyDescent="0.25">
      <c r="A273" s="209"/>
      <c r="B273" s="357"/>
      <c r="C273" s="357"/>
      <c r="D273" s="357"/>
      <c r="E273" s="357"/>
      <c r="F273" s="357"/>
      <c r="G273" s="357"/>
      <c r="H273" s="357"/>
      <c r="I273" s="357"/>
      <c r="J273" s="593"/>
      <c r="K273" s="357"/>
      <c r="L273" s="357"/>
      <c r="M273" s="357"/>
      <c r="N273" s="209"/>
      <c r="O273" s="209"/>
      <c r="P273" s="209"/>
      <c r="Q273" s="209"/>
      <c r="R273" s="209"/>
      <c r="S273" s="209"/>
      <c r="T273" s="209"/>
      <c r="U273" s="209"/>
      <c r="V273" s="209"/>
      <c r="W273" s="209"/>
      <c r="X273" s="209"/>
    </row>
    <row r="274" spans="1:24" x14ac:dyDescent="0.25">
      <c r="A274" s="209"/>
      <c r="B274" s="357"/>
      <c r="C274" s="357"/>
      <c r="D274" s="357"/>
      <c r="E274" s="357"/>
      <c r="F274" s="357"/>
      <c r="G274" s="357"/>
      <c r="H274" s="357"/>
      <c r="I274" s="357"/>
      <c r="J274" s="593"/>
      <c r="K274" s="357"/>
      <c r="L274" s="357"/>
      <c r="M274" s="357"/>
      <c r="N274" s="209"/>
      <c r="O274" s="209"/>
      <c r="P274" s="209"/>
      <c r="Q274" s="209"/>
      <c r="R274" s="209"/>
      <c r="S274" s="209"/>
      <c r="T274" s="209"/>
      <c r="U274" s="209"/>
      <c r="V274" s="209"/>
      <c r="W274" s="209"/>
      <c r="X274" s="209"/>
    </row>
    <row r="275" spans="1:24" x14ac:dyDescent="0.25">
      <c r="A275" s="209"/>
      <c r="B275" s="357"/>
      <c r="C275" s="357"/>
      <c r="D275" s="357"/>
      <c r="E275" s="357"/>
      <c r="F275" s="357"/>
      <c r="G275" s="357"/>
      <c r="H275" s="357"/>
      <c r="I275" s="357"/>
      <c r="J275" s="593"/>
      <c r="K275" s="357"/>
      <c r="L275" s="357"/>
      <c r="M275" s="357"/>
      <c r="N275" s="209"/>
      <c r="O275" s="209"/>
      <c r="P275" s="209"/>
      <c r="Q275" s="209"/>
      <c r="R275" s="209"/>
      <c r="S275" s="209"/>
      <c r="T275" s="209"/>
      <c r="U275" s="209"/>
      <c r="V275" s="209"/>
      <c r="W275" s="209"/>
      <c r="X275" s="209"/>
    </row>
    <row r="276" spans="1:24" x14ac:dyDescent="0.25">
      <c r="A276" s="209"/>
      <c r="B276" s="357"/>
      <c r="C276" s="357"/>
      <c r="D276" s="357"/>
      <c r="E276" s="357"/>
      <c r="F276" s="357"/>
      <c r="G276" s="357"/>
      <c r="H276" s="357"/>
      <c r="I276" s="357"/>
      <c r="J276" s="593"/>
      <c r="K276" s="357"/>
      <c r="L276" s="357"/>
      <c r="M276" s="357"/>
      <c r="N276" s="209"/>
      <c r="O276" s="209"/>
      <c r="P276" s="209"/>
      <c r="Q276" s="209"/>
      <c r="R276" s="209"/>
      <c r="S276" s="209"/>
      <c r="T276" s="209"/>
      <c r="U276" s="209"/>
      <c r="V276" s="209"/>
      <c r="W276" s="209"/>
      <c r="X276" s="209"/>
    </row>
    <row r="277" spans="1:24" x14ac:dyDescent="0.25">
      <c r="A277" s="209"/>
      <c r="B277" s="357"/>
      <c r="C277" s="357"/>
      <c r="D277" s="357"/>
      <c r="E277" s="357"/>
      <c r="F277" s="357"/>
      <c r="G277" s="357"/>
      <c r="H277" s="357"/>
      <c r="I277" s="357"/>
      <c r="J277" s="593"/>
      <c r="K277" s="357"/>
      <c r="L277" s="357"/>
      <c r="M277" s="357"/>
      <c r="N277" s="209"/>
      <c r="O277" s="209"/>
      <c r="P277" s="209"/>
      <c r="Q277" s="209"/>
      <c r="R277" s="209"/>
      <c r="S277" s="209"/>
      <c r="T277" s="209"/>
      <c r="U277" s="209"/>
      <c r="V277" s="209"/>
      <c r="W277" s="209"/>
      <c r="X277" s="209"/>
    </row>
    <row r="278" spans="1:24" x14ac:dyDescent="0.25">
      <c r="A278" s="209"/>
      <c r="B278" s="357"/>
      <c r="C278" s="357"/>
      <c r="D278" s="357"/>
      <c r="E278" s="357"/>
      <c r="F278" s="357"/>
      <c r="G278" s="357"/>
      <c r="H278" s="357"/>
      <c r="I278" s="357"/>
      <c r="J278" s="593"/>
      <c r="K278" s="357"/>
      <c r="L278" s="357"/>
      <c r="M278" s="357"/>
      <c r="N278" s="209"/>
      <c r="O278" s="209"/>
      <c r="P278" s="209"/>
      <c r="Q278" s="209"/>
      <c r="R278" s="209"/>
      <c r="S278" s="209"/>
      <c r="T278" s="209"/>
      <c r="U278" s="209"/>
      <c r="V278" s="209"/>
      <c r="W278" s="209"/>
      <c r="X278" s="209"/>
    </row>
    <row r="279" spans="1:24" x14ac:dyDescent="0.25">
      <c r="A279" s="209"/>
      <c r="B279" s="357"/>
      <c r="C279" s="357"/>
      <c r="D279" s="357"/>
      <c r="E279" s="357"/>
      <c r="F279" s="357"/>
      <c r="G279" s="357"/>
      <c r="H279" s="357"/>
      <c r="I279" s="357"/>
      <c r="J279" s="593"/>
      <c r="K279" s="357"/>
      <c r="L279" s="357"/>
      <c r="M279" s="357"/>
      <c r="N279" s="209"/>
      <c r="O279" s="209"/>
      <c r="P279" s="209"/>
      <c r="Q279" s="209"/>
      <c r="R279" s="209"/>
      <c r="S279" s="209"/>
      <c r="T279" s="209"/>
      <c r="U279" s="209"/>
      <c r="V279" s="209"/>
      <c r="W279" s="209"/>
      <c r="X279" s="209"/>
    </row>
    <row r="280" spans="1:24" x14ac:dyDescent="0.25">
      <c r="A280" s="209"/>
      <c r="B280" s="357"/>
      <c r="C280" s="357"/>
      <c r="D280" s="357"/>
      <c r="E280" s="357"/>
      <c r="F280" s="357"/>
      <c r="G280" s="357"/>
      <c r="H280" s="357"/>
      <c r="I280" s="357"/>
      <c r="J280" s="593"/>
      <c r="K280" s="357"/>
      <c r="L280" s="357"/>
      <c r="M280" s="357"/>
      <c r="N280" s="209"/>
      <c r="O280" s="209"/>
      <c r="P280" s="209"/>
      <c r="Q280" s="209"/>
      <c r="R280" s="209"/>
      <c r="S280" s="209"/>
      <c r="T280" s="209"/>
      <c r="U280" s="209"/>
      <c r="V280" s="209"/>
      <c r="W280" s="209"/>
      <c r="X280" s="209"/>
    </row>
    <row r="281" spans="1:24" x14ac:dyDescent="0.25">
      <c r="A281" s="209"/>
      <c r="B281" s="357"/>
      <c r="C281" s="357"/>
      <c r="D281" s="357"/>
      <c r="E281" s="357"/>
      <c r="F281" s="357"/>
      <c r="G281" s="357"/>
      <c r="H281" s="357"/>
      <c r="I281" s="357"/>
      <c r="J281" s="593"/>
      <c r="K281" s="357"/>
      <c r="L281" s="357"/>
      <c r="M281" s="357"/>
      <c r="N281" s="209"/>
      <c r="O281" s="209"/>
      <c r="P281" s="209"/>
      <c r="Q281" s="209"/>
      <c r="R281" s="209"/>
      <c r="S281" s="209"/>
      <c r="T281" s="209"/>
      <c r="U281" s="209"/>
      <c r="V281" s="209"/>
      <c r="W281" s="209"/>
      <c r="X281" s="209"/>
    </row>
    <row r="282" spans="1:24" x14ac:dyDescent="0.25">
      <c r="A282" s="209"/>
      <c r="B282" s="357"/>
      <c r="C282" s="357"/>
      <c r="D282" s="357"/>
      <c r="E282" s="357"/>
      <c r="F282" s="357"/>
      <c r="G282" s="357"/>
      <c r="H282" s="357"/>
      <c r="I282" s="357"/>
      <c r="J282" s="593"/>
      <c r="K282" s="357"/>
      <c r="L282" s="357"/>
      <c r="M282" s="357"/>
      <c r="N282" s="209"/>
      <c r="O282" s="209"/>
      <c r="P282" s="209"/>
      <c r="Q282" s="209"/>
      <c r="R282" s="209"/>
      <c r="S282" s="209"/>
      <c r="T282" s="209"/>
      <c r="U282" s="209"/>
      <c r="V282" s="209"/>
      <c r="W282" s="209"/>
      <c r="X282" s="209"/>
    </row>
    <row r="283" spans="1:24" x14ac:dyDescent="0.25">
      <c r="A283" s="209"/>
      <c r="B283" s="357"/>
      <c r="C283" s="357"/>
      <c r="D283" s="357"/>
      <c r="E283" s="357"/>
      <c r="F283" s="357"/>
      <c r="G283" s="357"/>
      <c r="H283" s="357"/>
      <c r="I283" s="357"/>
      <c r="J283" s="593"/>
      <c r="K283" s="357"/>
      <c r="L283" s="357"/>
      <c r="M283" s="357"/>
      <c r="N283" s="209"/>
      <c r="O283" s="209"/>
      <c r="P283" s="209"/>
      <c r="Q283" s="209"/>
      <c r="R283" s="209"/>
      <c r="S283" s="209"/>
      <c r="T283" s="209"/>
      <c r="U283" s="209"/>
      <c r="V283" s="209"/>
      <c r="W283" s="209"/>
      <c r="X283" s="209"/>
    </row>
    <row r="284" spans="1:24" x14ac:dyDescent="0.25">
      <c r="A284" s="209"/>
      <c r="B284" s="357"/>
      <c r="C284" s="357"/>
      <c r="D284" s="357"/>
      <c r="E284" s="357"/>
      <c r="F284" s="357"/>
      <c r="G284" s="357"/>
      <c r="H284" s="357"/>
      <c r="I284" s="357"/>
      <c r="J284" s="593"/>
      <c r="K284" s="357"/>
      <c r="L284" s="357"/>
      <c r="M284" s="357"/>
      <c r="N284" s="209"/>
      <c r="O284" s="209"/>
      <c r="P284" s="209"/>
      <c r="Q284" s="209"/>
      <c r="R284" s="209"/>
      <c r="S284" s="209"/>
      <c r="T284" s="209"/>
      <c r="U284" s="209"/>
      <c r="V284" s="209"/>
      <c r="W284" s="209"/>
      <c r="X284" s="209"/>
    </row>
    <row r="285" spans="1:24" x14ac:dyDescent="0.25">
      <c r="A285" s="209"/>
      <c r="B285" s="357"/>
      <c r="C285" s="357"/>
      <c r="D285" s="357"/>
      <c r="E285" s="357"/>
      <c r="F285" s="357"/>
      <c r="G285" s="357"/>
      <c r="H285" s="357"/>
      <c r="I285" s="357"/>
      <c r="J285" s="593"/>
      <c r="K285" s="357"/>
      <c r="L285" s="357"/>
      <c r="M285" s="357"/>
      <c r="N285" s="209"/>
      <c r="O285" s="209"/>
      <c r="P285" s="209"/>
      <c r="Q285" s="209"/>
      <c r="R285" s="209"/>
      <c r="S285" s="209"/>
      <c r="T285" s="209"/>
      <c r="U285" s="209"/>
      <c r="V285" s="209"/>
      <c r="W285" s="209"/>
      <c r="X285" s="209"/>
    </row>
    <row r="286" spans="1:24" x14ac:dyDescent="0.25">
      <c r="A286" s="209"/>
      <c r="B286" s="357"/>
      <c r="C286" s="357"/>
      <c r="D286" s="357"/>
      <c r="E286" s="357"/>
      <c r="F286" s="357"/>
      <c r="G286" s="357"/>
      <c r="H286" s="357"/>
      <c r="I286" s="357"/>
      <c r="J286" s="593"/>
      <c r="K286" s="357"/>
      <c r="L286" s="357"/>
      <c r="M286" s="357"/>
      <c r="N286" s="209"/>
      <c r="O286" s="209"/>
      <c r="P286" s="209"/>
      <c r="Q286" s="209"/>
      <c r="R286" s="209"/>
      <c r="S286" s="209"/>
      <c r="T286" s="209"/>
      <c r="U286" s="209"/>
      <c r="V286" s="209"/>
      <c r="W286" s="209"/>
      <c r="X286" s="209"/>
    </row>
    <row r="287" spans="1:24" x14ac:dyDescent="0.25">
      <c r="A287" s="209"/>
      <c r="B287" s="357"/>
      <c r="C287" s="357"/>
      <c r="D287" s="357"/>
      <c r="E287" s="357"/>
      <c r="F287" s="357"/>
      <c r="G287" s="357"/>
      <c r="H287" s="357"/>
      <c r="I287" s="357"/>
      <c r="J287" s="593"/>
      <c r="K287" s="357"/>
      <c r="L287" s="357"/>
      <c r="M287" s="357"/>
      <c r="N287" s="209"/>
      <c r="O287" s="209"/>
      <c r="P287" s="209"/>
      <c r="Q287" s="209"/>
      <c r="R287" s="209"/>
      <c r="S287" s="209"/>
      <c r="T287" s="209"/>
      <c r="U287" s="209"/>
      <c r="V287" s="209"/>
      <c r="W287" s="209"/>
      <c r="X287" s="209"/>
    </row>
    <row r="288" spans="1:24" x14ac:dyDescent="0.25">
      <c r="A288" s="209"/>
      <c r="B288" s="357"/>
      <c r="C288" s="357"/>
      <c r="D288" s="357"/>
      <c r="E288" s="357"/>
      <c r="F288" s="357"/>
      <c r="G288" s="357"/>
      <c r="H288" s="357"/>
      <c r="I288" s="357"/>
      <c r="J288" s="593"/>
      <c r="K288" s="357"/>
      <c r="L288" s="357"/>
      <c r="M288" s="357"/>
      <c r="N288" s="209"/>
      <c r="O288" s="209"/>
      <c r="P288" s="209"/>
      <c r="Q288" s="209"/>
      <c r="R288" s="209"/>
      <c r="S288" s="209"/>
      <c r="T288" s="209"/>
      <c r="U288" s="209"/>
      <c r="V288" s="209"/>
      <c r="W288" s="209"/>
      <c r="X288" s="209"/>
    </row>
    <row r="289" spans="1:24" x14ac:dyDescent="0.25">
      <c r="A289" s="209"/>
      <c r="B289" s="357"/>
      <c r="C289" s="357"/>
      <c r="D289" s="357"/>
      <c r="E289" s="357"/>
      <c r="F289" s="357"/>
      <c r="G289" s="357"/>
      <c r="H289" s="357"/>
      <c r="I289" s="357"/>
      <c r="J289" s="593"/>
      <c r="K289" s="357"/>
      <c r="L289" s="357"/>
      <c r="M289" s="357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</row>
    <row r="290" spans="1:24" x14ac:dyDescent="0.25">
      <c r="A290" s="209"/>
      <c r="B290" s="357"/>
      <c r="C290" s="357"/>
      <c r="D290" s="357"/>
      <c r="E290" s="357"/>
      <c r="F290" s="357"/>
      <c r="G290" s="357"/>
      <c r="H290" s="357"/>
      <c r="I290" s="357"/>
      <c r="J290" s="593"/>
      <c r="K290" s="357"/>
      <c r="L290" s="357"/>
      <c r="M290" s="357"/>
      <c r="N290" s="209"/>
      <c r="O290" s="209"/>
      <c r="P290" s="209"/>
      <c r="Q290" s="209"/>
      <c r="R290" s="209"/>
      <c r="S290" s="209"/>
      <c r="T290" s="209"/>
      <c r="U290" s="209"/>
      <c r="V290" s="209"/>
      <c r="W290" s="209"/>
      <c r="X290" s="209"/>
    </row>
    <row r="291" spans="1:24" x14ac:dyDescent="0.25">
      <c r="A291" s="209"/>
      <c r="B291" s="357"/>
      <c r="C291" s="357"/>
      <c r="D291" s="357"/>
      <c r="E291" s="357"/>
      <c r="F291" s="357"/>
      <c r="G291" s="357"/>
      <c r="H291" s="357"/>
      <c r="I291" s="357"/>
      <c r="J291" s="593"/>
      <c r="K291" s="357"/>
      <c r="L291" s="357"/>
      <c r="M291" s="357"/>
      <c r="N291" s="209"/>
      <c r="O291" s="209"/>
      <c r="P291" s="209"/>
      <c r="Q291" s="209"/>
      <c r="R291" s="209"/>
      <c r="S291" s="209"/>
      <c r="T291" s="209"/>
      <c r="U291" s="209"/>
      <c r="V291" s="209"/>
      <c r="W291" s="209"/>
      <c r="X291" s="209"/>
    </row>
    <row r="292" spans="1:24" x14ac:dyDescent="0.25">
      <c r="A292" s="209"/>
      <c r="B292" s="357"/>
      <c r="C292" s="357"/>
      <c r="D292" s="357"/>
      <c r="E292" s="357"/>
      <c r="F292" s="357"/>
      <c r="G292" s="357"/>
      <c r="H292" s="357"/>
      <c r="I292" s="357"/>
      <c r="J292" s="593"/>
      <c r="K292" s="357"/>
      <c r="L292" s="357"/>
      <c r="M292" s="357"/>
      <c r="N292" s="209"/>
      <c r="O292" s="209"/>
      <c r="P292" s="209"/>
      <c r="Q292" s="209"/>
      <c r="R292" s="209"/>
      <c r="S292" s="209"/>
      <c r="T292" s="209"/>
      <c r="U292" s="209"/>
      <c r="V292" s="209"/>
      <c r="W292" s="209"/>
      <c r="X292" s="209"/>
    </row>
    <row r="293" spans="1:24" x14ac:dyDescent="0.25">
      <c r="A293" s="209"/>
      <c r="B293" s="357"/>
      <c r="C293" s="357"/>
      <c r="D293" s="357"/>
      <c r="E293" s="357"/>
      <c r="F293" s="357"/>
      <c r="G293" s="357"/>
      <c r="H293" s="357"/>
      <c r="I293" s="357"/>
      <c r="J293" s="593"/>
      <c r="K293" s="357"/>
      <c r="L293" s="357"/>
      <c r="M293" s="357"/>
      <c r="N293" s="209"/>
      <c r="O293" s="209"/>
      <c r="P293" s="209"/>
      <c r="Q293" s="209"/>
      <c r="R293" s="209"/>
      <c r="S293" s="209"/>
      <c r="T293" s="209"/>
      <c r="U293" s="209"/>
      <c r="V293" s="209"/>
      <c r="W293" s="209"/>
      <c r="X293" s="209"/>
    </row>
    <row r="294" spans="1:24" x14ac:dyDescent="0.25">
      <c r="A294" s="209"/>
      <c r="B294" s="357"/>
      <c r="C294" s="357"/>
      <c r="D294" s="357"/>
      <c r="E294" s="357"/>
      <c r="F294" s="357"/>
      <c r="G294" s="357"/>
      <c r="H294" s="357"/>
      <c r="I294" s="357"/>
      <c r="J294" s="593"/>
      <c r="K294" s="357"/>
      <c r="L294" s="357"/>
      <c r="M294" s="357"/>
      <c r="N294" s="209"/>
      <c r="O294" s="209"/>
      <c r="P294" s="209"/>
      <c r="Q294" s="209"/>
      <c r="R294" s="209"/>
      <c r="S294" s="209"/>
      <c r="T294" s="209"/>
      <c r="U294" s="209"/>
      <c r="V294" s="209"/>
      <c r="W294" s="209"/>
      <c r="X294" s="209"/>
    </row>
    <row r="295" spans="1:24" x14ac:dyDescent="0.25">
      <c r="A295" s="209"/>
      <c r="B295" s="357"/>
      <c r="C295" s="357"/>
      <c r="D295" s="357"/>
      <c r="E295" s="357"/>
      <c r="F295" s="357"/>
      <c r="G295" s="357"/>
      <c r="H295" s="357"/>
      <c r="I295" s="357"/>
      <c r="J295" s="593"/>
      <c r="K295" s="357"/>
      <c r="L295" s="357"/>
      <c r="M295" s="357"/>
      <c r="N295" s="209"/>
      <c r="O295" s="209"/>
      <c r="P295" s="209"/>
      <c r="Q295" s="209"/>
      <c r="R295" s="209"/>
      <c r="S295" s="209"/>
      <c r="T295" s="209"/>
      <c r="U295" s="209"/>
      <c r="V295" s="209"/>
      <c r="W295" s="209"/>
      <c r="X295" s="209"/>
    </row>
    <row r="296" spans="1:24" x14ac:dyDescent="0.25">
      <c r="A296" s="209"/>
      <c r="B296" s="357"/>
      <c r="C296" s="357"/>
      <c r="D296" s="357"/>
      <c r="E296" s="357"/>
      <c r="F296" s="357"/>
      <c r="G296" s="357"/>
      <c r="H296" s="357"/>
      <c r="I296" s="357"/>
      <c r="J296" s="593"/>
      <c r="K296" s="357"/>
      <c r="L296" s="357"/>
      <c r="M296" s="357"/>
      <c r="N296" s="209"/>
      <c r="O296" s="209"/>
      <c r="P296" s="209"/>
      <c r="Q296" s="209"/>
      <c r="R296" s="209"/>
      <c r="S296" s="209"/>
      <c r="T296" s="209"/>
      <c r="U296" s="209"/>
      <c r="V296" s="209"/>
      <c r="W296" s="209"/>
      <c r="X296" s="209"/>
    </row>
    <row r="297" spans="1:24" x14ac:dyDescent="0.25">
      <c r="A297" s="209"/>
      <c r="B297" s="357"/>
      <c r="C297" s="357"/>
      <c r="D297" s="357"/>
      <c r="E297" s="357"/>
      <c r="F297" s="357"/>
      <c r="G297" s="357"/>
      <c r="H297" s="357"/>
      <c r="I297" s="357"/>
      <c r="J297" s="593"/>
      <c r="K297" s="357"/>
      <c r="L297" s="357"/>
      <c r="M297" s="357"/>
      <c r="N297" s="209"/>
      <c r="O297" s="209"/>
      <c r="P297" s="209"/>
      <c r="Q297" s="209"/>
      <c r="R297" s="209"/>
      <c r="S297" s="209"/>
      <c r="T297" s="209"/>
      <c r="U297" s="209"/>
      <c r="V297" s="209"/>
      <c r="W297" s="209"/>
      <c r="X297" s="209"/>
    </row>
    <row r="298" spans="1:24" x14ac:dyDescent="0.25">
      <c r="A298" s="209"/>
      <c r="B298" s="357"/>
      <c r="C298" s="357"/>
      <c r="D298" s="357"/>
      <c r="E298" s="357"/>
      <c r="F298" s="357"/>
      <c r="G298" s="357"/>
      <c r="H298" s="357"/>
      <c r="I298" s="357"/>
      <c r="J298" s="593"/>
      <c r="K298" s="357"/>
      <c r="L298" s="357"/>
      <c r="M298" s="357"/>
      <c r="N298" s="209"/>
      <c r="O298" s="209"/>
      <c r="P298" s="209"/>
      <c r="Q298" s="209"/>
      <c r="R298" s="209"/>
      <c r="S298" s="209"/>
      <c r="T298" s="209"/>
      <c r="U298" s="209"/>
      <c r="V298" s="209"/>
      <c r="W298" s="209"/>
      <c r="X298" s="209"/>
    </row>
    <row r="299" spans="1:24" x14ac:dyDescent="0.25">
      <c r="A299" s="209"/>
      <c r="B299" s="357"/>
      <c r="C299" s="357"/>
      <c r="D299" s="357"/>
      <c r="E299" s="357"/>
      <c r="F299" s="357"/>
      <c r="G299" s="357"/>
      <c r="H299" s="357"/>
      <c r="I299" s="357"/>
      <c r="J299" s="593"/>
      <c r="K299" s="357"/>
      <c r="L299" s="357"/>
      <c r="M299" s="357"/>
      <c r="N299" s="209"/>
      <c r="O299" s="209"/>
      <c r="P299" s="209"/>
      <c r="Q299" s="209"/>
      <c r="R299" s="209"/>
      <c r="S299" s="209"/>
      <c r="T299" s="209"/>
      <c r="U299" s="209"/>
      <c r="V299" s="209"/>
      <c r="W299" s="209"/>
      <c r="X299" s="209"/>
    </row>
    <row r="300" spans="1:24" x14ac:dyDescent="0.25">
      <c r="A300" s="209"/>
      <c r="B300" s="357"/>
      <c r="C300" s="357"/>
      <c r="D300" s="357"/>
      <c r="E300" s="357"/>
      <c r="F300" s="357"/>
      <c r="G300" s="357"/>
      <c r="H300" s="357"/>
      <c r="I300" s="357"/>
      <c r="J300" s="593"/>
      <c r="K300" s="357"/>
      <c r="L300" s="357"/>
      <c r="M300" s="357"/>
      <c r="N300" s="209"/>
      <c r="O300" s="209"/>
      <c r="P300" s="209"/>
      <c r="Q300" s="209"/>
      <c r="R300" s="209"/>
      <c r="S300" s="209"/>
      <c r="T300" s="209"/>
      <c r="U300" s="209"/>
      <c r="V300" s="209"/>
      <c r="W300" s="209"/>
      <c r="X300" s="209"/>
    </row>
    <row r="301" spans="1:24" x14ac:dyDescent="0.25">
      <c r="A301" s="209"/>
      <c r="B301" s="357"/>
      <c r="C301" s="357"/>
      <c r="D301" s="357"/>
      <c r="E301" s="357"/>
      <c r="F301" s="357"/>
      <c r="G301" s="357"/>
      <c r="H301" s="357"/>
      <c r="I301" s="357"/>
      <c r="J301" s="593"/>
      <c r="K301" s="357"/>
      <c r="L301" s="357"/>
      <c r="M301" s="357"/>
      <c r="N301" s="209"/>
      <c r="O301" s="209"/>
      <c r="P301" s="209"/>
      <c r="Q301" s="209"/>
      <c r="R301" s="209"/>
      <c r="S301" s="209"/>
      <c r="T301" s="209"/>
      <c r="U301" s="209"/>
      <c r="V301" s="209"/>
      <c r="W301" s="209"/>
      <c r="X301" s="209"/>
    </row>
    <row r="302" spans="1:24" x14ac:dyDescent="0.25">
      <c r="A302" s="209"/>
      <c r="B302" s="357"/>
      <c r="C302" s="357"/>
      <c r="D302" s="357"/>
      <c r="E302" s="357"/>
      <c r="F302" s="357"/>
      <c r="G302" s="357"/>
      <c r="H302" s="357"/>
      <c r="I302" s="357"/>
      <c r="J302" s="593"/>
      <c r="K302" s="357"/>
      <c r="L302" s="357"/>
      <c r="M302" s="357"/>
      <c r="N302" s="209"/>
      <c r="O302" s="209"/>
      <c r="P302" s="209"/>
      <c r="Q302" s="209"/>
      <c r="R302" s="209"/>
      <c r="S302" s="209"/>
      <c r="T302" s="209"/>
      <c r="U302" s="209"/>
      <c r="V302" s="209"/>
      <c r="W302" s="209"/>
      <c r="X302" s="209"/>
    </row>
    <row r="303" spans="1:24" x14ac:dyDescent="0.25">
      <c r="A303" s="209"/>
      <c r="B303" s="357"/>
      <c r="C303" s="357"/>
      <c r="D303" s="357"/>
      <c r="E303" s="357"/>
      <c r="F303" s="357"/>
      <c r="G303" s="357"/>
      <c r="H303" s="357"/>
      <c r="I303" s="357"/>
      <c r="J303" s="593"/>
      <c r="K303" s="357"/>
      <c r="L303" s="357"/>
      <c r="M303" s="357"/>
      <c r="N303" s="209"/>
      <c r="O303" s="209"/>
      <c r="P303" s="209"/>
      <c r="Q303" s="209"/>
      <c r="R303" s="209"/>
      <c r="S303" s="209"/>
      <c r="T303" s="209"/>
      <c r="U303" s="209"/>
      <c r="V303" s="209"/>
      <c r="W303" s="209"/>
      <c r="X303" s="209"/>
    </row>
    <row r="304" spans="1:24" x14ac:dyDescent="0.25">
      <c r="A304" s="209"/>
      <c r="B304" s="357"/>
      <c r="C304" s="357"/>
      <c r="D304" s="357"/>
      <c r="E304" s="357"/>
      <c r="F304" s="357"/>
      <c r="G304" s="357"/>
      <c r="H304" s="357"/>
      <c r="I304" s="357"/>
      <c r="J304" s="593"/>
      <c r="K304" s="357"/>
      <c r="L304" s="357"/>
      <c r="M304" s="357"/>
      <c r="N304" s="209"/>
      <c r="O304" s="209"/>
      <c r="P304" s="209"/>
      <c r="Q304" s="209"/>
      <c r="R304" s="209"/>
      <c r="S304" s="209"/>
      <c r="T304" s="209"/>
      <c r="U304" s="209"/>
      <c r="V304" s="209"/>
      <c r="W304" s="209"/>
      <c r="X304" s="209"/>
    </row>
    <row r="305" spans="1:24" x14ac:dyDescent="0.25">
      <c r="A305" s="209"/>
      <c r="B305" s="357"/>
      <c r="C305" s="357"/>
      <c r="D305" s="357"/>
      <c r="E305" s="357"/>
      <c r="F305" s="357"/>
      <c r="G305" s="357"/>
      <c r="H305" s="357"/>
      <c r="I305" s="357"/>
      <c r="J305" s="593"/>
      <c r="K305" s="357"/>
      <c r="L305" s="357"/>
      <c r="M305" s="357"/>
      <c r="N305" s="209"/>
      <c r="O305" s="209"/>
      <c r="P305" s="209"/>
      <c r="Q305" s="209"/>
      <c r="R305" s="209"/>
      <c r="S305" s="209"/>
      <c r="T305" s="209"/>
      <c r="U305" s="209"/>
      <c r="V305" s="209"/>
      <c r="W305" s="209"/>
      <c r="X305" s="209"/>
    </row>
    <row r="306" spans="1:24" x14ac:dyDescent="0.25">
      <c r="A306" s="209"/>
      <c r="B306" s="357"/>
      <c r="C306" s="357"/>
      <c r="D306" s="357"/>
      <c r="E306" s="357"/>
      <c r="F306" s="357"/>
      <c r="G306" s="357"/>
      <c r="H306" s="357"/>
      <c r="I306" s="357"/>
      <c r="J306" s="593"/>
      <c r="K306" s="357"/>
      <c r="L306" s="357"/>
      <c r="M306" s="357"/>
      <c r="N306" s="209"/>
      <c r="O306" s="209"/>
      <c r="P306" s="209"/>
      <c r="Q306" s="209"/>
      <c r="R306" s="209"/>
      <c r="S306" s="209"/>
      <c r="T306" s="209"/>
      <c r="U306" s="209"/>
      <c r="V306" s="209"/>
      <c r="W306" s="209"/>
      <c r="X306" s="209"/>
    </row>
    <row r="307" spans="1:24" x14ac:dyDescent="0.25">
      <c r="A307" s="209"/>
      <c r="B307" s="357"/>
      <c r="C307" s="357"/>
      <c r="D307" s="357"/>
      <c r="E307" s="357"/>
      <c r="F307" s="357"/>
      <c r="G307" s="357"/>
      <c r="H307" s="357"/>
      <c r="I307" s="357"/>
      <c r="J307" s="593"/>
      <c r="K307" s="357"/>
      <c r="L307" s="357"/>
      <c r="M307" s="357"/>
      <c r="N307" s="209"/>
      <c r="O307" s="209"/>
      <c r="P307" s="209"/>
      <c r="Q307" s="209"/>
      <c r="R307" s="209"/>
      <c r="S307" s="209"/>
      <c r="T307" s="209"/>
      <c r="U307" s="209"/>
      <c r="V307" s="209"/>
      <c r="W307" s="209"/>
      <c r="X307" s="209"/>
    </row>
    <row r="308" spans="1:24" x14ac:dyDescent="0.25">
      <c r="A308" s="209"/>
      <c r="B308" s="357"/>
      <c r="C308" s="357"/>
      <c r="D308" s="357"/>
      <c r="E308" s="357"/>
      <c r="F308" s="357"/>
      <c r="G308" s="357"/>
      <c r="H308" s="357"/>
      <c r="I308" s="357"/>
      <c r="J308" s="593"/>
      <c r="K308" s="357"/>
      <c r="L308" s="357"/>
      <c r="M308" s="357"/>
      <c r="N308" s="209"/>
      <c r="O308" s="209"/>
      <c r="P308" s="209"/>
      <c r="Q308" s="209"/>
      <c r="R308" s="209"/>
      <c r="S308" s="209"/>
      <c r="T308" s="209"/>
      <c r="U308" s="209"/>
      <c r="V308" s="209"/>
      <c r="W308" s="209"/>
      <c r="X308" s="209"/>
    </row>
    <row r="309" spans="1:24" x14ac:dyDescent="0.25">
      <c r="A309" s="209"/>
      <c r="B309" s="357"/>
      <c r="C309" s="357"/>
      <c r="D309" s="357"/>
      <c r="E309" s="357"/>
      <c r="F309" s="357"/>
      <c r="G309" s="357"/>
      <c r="H309" s="357"/>
      <c r="I309" s="357"/>
      <c r="J309" s="593"/>
      <c r="K309" s="357"/>
      <c r="L309" s="357"/>
      <c r="M309" s="357"/>
      <c r="N309" s="209"/>
      <c r="O309" s="209"/>
      <c r="P309" s="209"/>
      <c r="Q309" s="209"/>
      <c r="R309" s="209"/>
      <c r="S309" s="209"/>
      <c r="T309" s="209"/>
      <c r="U309" s="209"/>
      <c r="V309" s="209"/>
      <c r="W309" s="209"/>
      <c r="X309" s="209"/>
    </row>
    <row r="310" spans="1:24" x14ac:dyDescent="0.25">
      <c r="A310" s="209"/>
      <c r="B310" s="357"/>
      <c r="C310" s="357"/>
      <c r="D310" s="357"/>
      <c r="E310" s="357"/>
      <c r="F310" s="357"/>
      <c r="G310" s="357"/>
      <c r="H310" s="357"/>
      <c r="I310" s="357"/>
      <c r="J310" s="593"/>
      <c r="K310" s="357"/>
      <c r="L310" s="357"/>
      <c r="M310" s="357"/>
      <c r="N310" s="209"/>
      <c r="O310" s="209"/>
      <c r="P310" s="209"/>
      <c r="Q310" s="209"/>
      <c r="R310" s="209"/>
      <c r="S310" s="209"/>
      <c r="T310" s="209"/>
      <c r="U310" s="209"/>
      <c r="V310" s="209"/>
      <c r="W310" s="209"/>
      <c r="X310" s="209"/>
    </row>
    <row r="311" spans="1:24" x14ac:dyDescent="0.25">
      <c r="A311" s="209"/>
      <c r="B311" s="357"/>
      <c r="C311" s="357"/>
      <c r="D311" s="357"/>
      <c r="E311" s="357"/>
      <c r="F311" s="357"/>
      <c r="G311" s="357"/>
      <c r="H311" s="357"/>
      <c r="I311" s="357"/>
      <c r="J311" s="593"/>
      <c r="K311" s="357"/>
      <c r="L311" s="357"/>
      <c r="M311" s="357"/>
      <c r="N311" s="209"/>
      <c r="O311" s="209"/>
      <c r="P311" s="209"/>
      <c r="Q311" s="209"/>
      <c r="R311" s="209"/>
      <c r="S311" s="209"/>
      <c r="T311" s="209"/>
      <c r="U311" s="209"/>
      <c r="V311" s="209"/>
      <c r="W311" s="209"/>
      <c r="X311" s="209"/>
    </row>
    <row r="312" spans="1:24" x14ac:dyDescent="0.25">
      <c r="A312" s="209"/>
      <c r="B312" s="357"/>
      <c r="C312" s="357"/>
      <c r="D312" s="357"/>
      <c r="E312" s="357"/>
      <c r="F312" s="357"/>
      <c r="G312" s="357"/>
      <c r="H312" s="357"/>
      <c r="I312" s="357"/>
      <c r="J312" s="593"/>
      <c r="K312" s="357"/>
      <c r="L312" s="357"/>
      <c r="M312" s="357"/>
      <c r="N312" s="209"/>
      <c r="O312" s="209"/>
      <c r="P312" s="209"/>
      <c r="Q312" s="209"/>
      <c r="R312" s="209"/>
      <c r="S312" s="209"/>
      <c r="T312" s="209"/>
      <c r="U312" s="209"/>
      <c r="V312" s="209"/>
      <c r="W312" s="209"/>
      <c r="X312" s="209"/>
    </row>
    <row r="313" spans="1:24" x14ac:dyDescent="0.25">
      <c r="A313" s="209"/>
      <c r="B313" s="357"/>
      <c r="C313" s="357"/>
      <c r="D313" s="357"/>
      <c r="E313" s="357"/>
      <c r="F313" s="357"/>
      <c r="G313" s="357"/>
      <c r="H313" s="357"/>
      <c r="I313" s="357"/>
      <c r="J313" s="593"/>
      <c r="K313" s="357"/>
      <c r="L313" s="357"/>
      <c r="M313" s="357"/>
      <c r="N313" s="209"/>
      <c r="O313" s="209"/>
      <c r="P313" s="209"/>
      <c r="Q313" s="209"/>
      <c r="R313" s="209"/>
      <c r="S313" s="209"/>
      <c r="T313" s="209"/>
      <c r="U313" s="209"/>
      <c r="V313" s="209"/>
      <c r="W313" s="209"/>
      <c r="X313" s="209"/>
    </row>
    <row r="314" spans="1:24" x14ac:dyDescent="0.25">
      <c r="A314" s="209"/>
      <c r="B314" s="357"/>
      <c r="C314" s="357"/>
      <c r="D314" s="357"/>
      <c r="E314" s="357"/>
      <c r="F314" s="357"/>
      <c r="G314" s="357"/>
      <c r="H314" s="357"/>
      <c r="I314" s="357"/>
      <c r="J314" s="593"/>
      <c r="K314" s="357"/>
      <c r="L314" s="357"/>
      <c r="M314" s="357"/>
      <c r="N314" s="209"/>
      <c r="O314" s="209"/>
      <c r="P314" s="209"/>
      <c r="Q314" s="209"/>
      <c r="R314" s="209"/>
      <c r="S314" s="209"/>
      <c r="T314" s="209"/>
      <c r="U314" s="209"/>
      <c r="V314" s="209"/>
      <c r="W314" s="209"/>
      <c r="X314" s="209"/>
    </row>
    <row r="315" spans="1:24" x14ac:dyDescent="0.25">
      <c r="A315" s="209"/>
      <c r="B315" s="357"/>
      <c r="C315" s="357"/>
      <c r="D315" s="357"/>
      <c r="E315" s="357"/>
      <c r="F315" s="357"/>
      <c r="G315" s="357"/>
      <c r="H315" s="357"/>
      <c r="I315" s="357"/>
      <c r="J315" s="593"/>
      <c r="K315" s="357"/>
      <c r="L315" s="357"/>
      <c r="M315" s="357"/>
      <c r="N315" s="209"/>
      <c r="O315" s="209"/>
      <c r="P315" s="209"/>
      <c r="Q315" s="209"/>
      <c r="R315" s="209"/>
      <c r="S315" s="209"/>
      <c r="T315" s="209"/>
      <c r="U315" s="209"/>
      <c r="V315" s="209"/>
      <c r="W315" s="209"/>
      <c r="X315" s="209"/>
    </row>
    <row r="316" spans="1:24" x14ac:dyDescent="0.25">
      <c r="A316" s="209"/>
      <c r="B316" s="357"/>
      <c r="C316" s="357"/>
      <c r="D316" s="357"/>
      <c r="E316" s="357"/>
      <c r="F316" s="357"/>
      <c r="G316" s="357"/>
      <c r="H316" s="357"/>
      <c r="I316" s="357"/>
      <c r="J316" s="593"/>
      <c r="K316" s="357"/>
      <c r="L316" s="357"/>
      <c r="M316" s="357"/>
      <c r="N316" s="209"/>
      <c r="O316" s="209"/>
      <c r="P316" s="209"/>
      <c r="Q316" s="209"/>
      <c r="R316" s="209"/>
      <c r="S316" s="209"/>
      <c r="T316" s="209"/>
      <c r="U316" s="209"/>
      <c r="V316" s="209"/>
      <c r="W316" s="209"/>
      <c r="X316" s="209"/>
    </row>
    <row r="317" spans="1:24" x14ac:dyDescent="0.25">
      <c r="A317" s="209"/>
      <c r="B317" s="357"/>
      <c r="C317" s="357"/>
      <c r="D317" s="357"/>
      <c r="E317" s="357"/>
      <c r="F317" s="357"/>
      <c r="G317" s="357"/>
      <c r="H317" s="357"/>
      <c r="I317" s="357"/>
      <c r="J317" s="593"/>
      <c r="K317" s="357"/>
      <c r="L317" s="357"/>
      <c r="M317" s="357"/>
      <c r="N317" s="209"/>
      <c r="O317" s="209"/>
      <c r="P317" s="209"/>
      <c r="Q317" s="209"/>
      <c r="R317" s="209"/>
      <c r="S317" s="209"/>
      <c r="T317" s="209"/>
      <c r="U317" s="209"/>
      <c r="V317" s="209"/>
      <c r="W317" s="209"/>
      <c r="X317" s="209"/>
    </row>
    <row r="318" spans="1:24" x14ac:dyDescent="0.25">
      <c r="A318" s="209"/>
      <c r="B318" s="357"/>
      <c r="C318" s="357"/>
      <c r="D318" s="357"/>
      <c r="E318" s="357"/>
      <c r="F318" s="357"/>
      <c r="G318" s="357"/>
      <c r="H318" s="357"/>
      <c r="I318" s="357"/>
      <c r="J318" s="593"/>
      <c r="K318" s="357"/>
      <c r="L318" s="357"/>
      <c r="M318" s="357"/>
      <c r="N318" s="209"/>
      <c r="O318" s="209"/>
      <c r="P318" s="209"/>
      <c r="Q318" s="209"/>
      <c r="R318" s="209"/>
      <c r="S318" s="209"/>
      <c r="T318" s="209"/>
      <c r="U318" s="209"/>
      <c r="V318" s="209"/>
      <c r="W318" s="209"/>
      <c r="X318" s="209"/>
    </row>
    <row r="319" spans="1:24" x14ac:dyDescent="0.25">
      <c r="A319" s="209"/>
      <c r="B319" s="357"/>
      <c r="C319" s="357"/>
      <c r="D319" s="357"/>
      <c r="E319" s="357"/>
      <c r="F319" s="357"/>
      <c r="G319" s="357"/>
      <c r="H319" s="357"/>
      <c r="I319" s="357"/>
      <c r="J319" s="593"/>
      <c r="K319" s="357"/>
      <c r="L319" s="357"/>
      <c r="M319" s="357"/>
      <c r="N319" s="209"/>
      <c r="O319" s="209"/>
      <c r="P319" s="209"/>
      <c r="Q319" s="209"/>
      <c r="R319" s="209"/>
      <c r="S319" s="209"/>
      <c r="T319" s="209"/>
      <c r="U319" s="209"/>
      <c r="V319" s="209"/>
      <c r="W319" s="209"/>
      <c r="X319" s="209"/>
    </row>
    <row r="320" spans="1:24" x14ac:dyDescent="0.25">
      <c r="A320" s="209"/>
      <c r="B320" s="357"/>
      <c r="C320" s="357"/>
      <c r="D320" s="357"/>
      <c r="E320" s="357"/>
      <c r="F320" s="357"/>
      <c r="G320" s="357"/>
      <c r="H320" s="357"/>
      <c r="I320" s="357"/>
      <c r="J320" s="593"/>
      <c r="K320" s="357"/>
      <c r="L320" s="357"/>
      <c r="M320" s="357"/>
      <c r="N320" s="209"/>
      <c r="O320" s="209"/>
      <c r="P320" s="209"/>
      <c r="Q320" s="209"/>
      <c r="R320" s="209"/>
      <c r="S320" s="209"/>
      <c r="T320" s="209"/>
      <c r="U320" s="209"/>
      <c r="V320" s="209"/>
      <c r="W320" s="209"/>
      <c r="X320" s="209"/>
    </row>
    <row r="321" spans="1:24" x14ac:dyDescent="0.25">
      <c r="A321" s="209"/>
      <c r="B321" s="357"/>
      <c r="C321" s="357"/>
      <c r="D321" s="357"/>
      <c r="E321" s="357"/>
      <c r="F321" s="357"/>
      <c r="G321" s="357"/>
      <c r="H321" s="357"/>
      <c r="I321" s="357"/>
      <c r="J321" s="593"/>
      <c r="K321" s="357"/>
      <c r="L321" s="357"/>
      <c r="M321" s="357"/>
      <c r="N321" s="209"/>
      <c r="O321" s="209"/>
      <c r="P321" s="209"/>
      <c r="Q321" s="209"/>
      <c r="R321" s="209"/>
      <c r="S321" s="209"/>
      <c r="T321" s="209"/>
      <c r="U321" s="209"/>
      <c r="V321" s="209"/>
      <c r="W321" s="209"/>
      <c r="X321" s="209"/>
    </row>
    <row r="322" spans="1:24" x14ac:dyDescent="0.25">
      <c r="A322" s="209"/>
      <c r="B322" s="357"/>
      <c r="C322" s="357"/>
      <c r="D322" s="357"/>
      <c r="E322" s="357"/>
      <c r="F322" s="357"/>
      <c r="G322" s="357"/>
      <c r="H322" s="357"/>
      <c r="I322" s="357"/>
      <c r="J322" s="593"/>
      <c r="K322" s="357"/>
      <c r="L322" s="357"/>
      <c r="M322" s="357"/>
      <c r="N322" s="209"/>
      <c r="O322" s="209"/>
      <c r="P322" s="209"/>
      <c r="Q322" s="209"/>
      <c r="R322" s="209"/>
      <c r="S322" s="209"/>
      <c r="T322" s="209"/>
      <c r="U322" s="209"/>
      <c r="V322" s="209"/>
      <c r="W322" s="209"/>
      <c r="X322" s="209"/>
    </row>
    <row r="323" spans="1:24" x14ac:dyDescent="0.25">
      <c r="A323" s="209"/>
      <c r="B323" s="357"/>
      <c r="C323" s="357"/>
      <c r="D323" s="357"/>
      <c r="E323" s="357"/>
      <c r="F323" s="357"/>
      <c r="G323" s="357"/>
      <c r="H323" s="357"/>
      <c r="I323" s="357"/>
      <c r="J323" s="593"/>
      <c r="K323" s="357"/>
      <c r="L323" s="357"/>
      <c r="M323" s="357"/>
      <c r="N323" s="209"/>
      <c r="O323" s="209"/>
      <c r="P323" s="209"/>
      <c r="Q323" s="209"/>
      <c r="R323" s="209"/>
      <c r="S323" s="209"/>
      <c r="T323" s="209"/>
      <c r="U323" s="209"/>
      <c r="V323" s="209"/>
      <c r="W323" s="209"/>
      <c r="X323" s="209"/>
    </row>
    <row r="324" spans="1:24" x14ac:dyDescent="0.25">
      <c r="A324" s="209"/>
      <c r="B324" s="357"/>
      <c r="C324" s="357"/>
      <c r="D324" s="357"/>
      <c r="E324" s="357"/>
      <c r="F324" s="357"/>
      <c r="G324" s="357"/>
      <c r="H324" s="357"/>
      <c r="I324" s="357"/>
      <c r="J324" s="593"/>
      <c r="K324" s="357"/>
      <c r="L324" s="357"/>
      <c r="M324" s="357"/>
      <c r="N324" s="209"/>
      <c r="O324" s="209"/>
      <c r="P324" s="209"/>
      <c r="Q324" s="209"/>
      <c r="R324" s="209"/>
      <c r="S324" s="209"/>
      <c r="T324" s="209"/>
      <c r="U324" s="209"/>
      <c r="V324" s="209"/>
      <c r="W324" s="209"/>
      <c r="X324" s="209"/>
    </row>
    <row r="325" spans="1:24" x14ac:dyDescent="0.25">
      <c r="A325" s="209"/>
      <c r="B325" s="357"/>
      <c r="C325" s="357"/>
      <c r="D325" s="357"/>
      <c r="E325" s="357"/>
      <c r="F325" s="357"/>
      <c r="G325" s="357"/>
      <c r="H325" s="357"/>
      <c r="I325" s="357"/>
      <c r="J325" s="593"/>
      <c r="K325" s="357"/>
      <c r="L325" s="357"/>
      <c r="M325" s="357"/>
      <c r="N325" s="209"/>
      <c r="O325" s="209"/>
      <c r="P325" s="209"/>
      <c r="Q325" s="209"/>
      <c r="R325" s="209"/>
      <c r="S325" s="209"/>
      <c r="T325" s="209"/>
      <c r="U325" s="209"/>
      <c r="V325" s="209"/>
      <c r="W325" s="209"/>
      <c r="X325" s="209"/>
    </row>
    <row r="326" spans="1:24" x14ac:dyDescent="0.25">
      <c r="A326" s="209"/>
      <c r="B326" s="357"/>
      <c r="C326" s="357"/>
      <c r="D326" s="357"/>
      <c r="E326" s="357"/>
      <c r="F326" s="357"/>
      <c r="G326" s="357"/>
      <c r="H326" s="357"/>
      <c r="I326" s="357"/>
      <c r="J326" s="593"/>
      <c r="K326" s="357"/>
      <c r="L326" s="357"/>
      <c r="M326" s="357"/>
      <c r="N326" s="209"/>
      <c r="O326" s="209"/>
      <c r="P326" s="209"/>
      <c r="Q326" s="209"/>
      <c r="R326" s="209"/>
      <c r="S326" s="209"/>
      <c r="T326" s="209"/>
      <c r="U326" s="209"/>
      <c r="V326" s="209"/>
      <c r="W326" s="209"/>
      <c r="X326" s="209"/>
    </row>
    <row r="327" spans="1:24" x14ac:dyDescent="0.25">
      <c r="A327" s="209"/>
      <c r="B327" s="357"/>
      <c r="C327" s="357"/>
      <c r="D327" s="357"/>
      <c r="E327" s="357"/>
      <c r="F327" s="357"/>
      <c r="G327" s="357"/>
      <c r="H327" s="357"/>
      <c r="I327" s="357"/>
      <c r="J327" s="593"/>
      <c r="K327" s="357"/>
      <c r="L327" s="357"/>
      <c r="M327" s="357"/>
      <c r="N327" s="209"/>
      <c r="O327" s="209"/>
      <c r="P327" s="209"/>
      <c r="Q327" s="209"/>
      <c r="R327" s="209"/>
      <c r="S327" s="209"/>
      <c r="T327" s="209"/>
      <c r="U327" s="209"/>
      <c r="V327" s="209"/>
      <c r="W327" s="209"/>
      <c r="X327" s="209"/>
    </row>
    <row r="328" spans="1:24" x14ac:dyDescent="0.25">
      <c r="A328" s="209"/>
      <c r="B328" s="357"/>
      <c r="C328" s="357"/>
      <c r="D328" s="357"/>
      <c r="E328" s="357"/>
      <c r="F328" s="357"/>
      <c r="G328" s="357"/>
      <c r="H328" s="357"/>
      <c r="I328" s="357"/>
      <c r="J328" s="593"/>
      <c r="K328" s="357"/>
      <c r="L328" s="357"/>
      <c r="M328" s="357"/>
      <c r="N328" s="209"/>
      <c r="O328" s="209"/>
      <c r="P328" s="209"/>
      <c r="Q328" s="209"/>
      <c r="R328" s="209"/>
      <c r="S328" s="209"/>
      <c r="T328" s="209"/>
      <c r="U328" s="209"/>
      <c r="V328" s="209"/>
      <c r="W328" s="209"/>
      <c r="X328" s="209"/>
    </row>
    <row r="329" spans="1:24" x14ac:dyDescent="0.25">
      <c r="A329" s="209"/>
      <c r="B329" s="357"/>
      <c r="C329" s="357"/>
      <c r="D329" s="357"/>
      <c r="E329" s="357"/>
      <c r="F329" s="357"/>
      <c r="G329" s="357"/>
      <c r="H329" s="357"/>
      <c r="I329" s="357"/>
      <c r="J329" s="593"/>
      <c r="K329" s="357"/>
      <c r="L329" s="357"/>
      <c r="M329" s="357"/>
      <c r="N329" s="209"/>
      <c r="O329" s="209"/>
      <c r="P329" s="209"/>
      <c r="Q329" s="209"/>
      <c r="R329" s="209"/>
      <c r="S329" s="209"/>
      <c r="T329" s="209"/>
      <c r="U329" s="209"/>
      <c r="V329" s="209"/>
      <c r="W329" s="209"/>
      <c r="X329" s="209"/>
    </row>
    <row r="330" spans="1:24" x14ac:dyDescent="0.25">
      <c r="A330" s="209"/>
      <c r="B330" s="357"/>
      <c r="C330" s="357"/>
      <c r="D330" s="357"/>
      <c r="E330" s="357"/>
      <c r="F330" s="357"/>
      <c r="G330" s="357"/>
      <c r="H330" s="357"/>
      <c r="I330" s="357"/>
      <c r="J330" s="593"/>
      <c r="K330" s="357"/>
      <c r="L330" s="357"/>
      <c r="M330" s="357"/>
      <c r="N330" s="209"/>
      <c r="O330" s="209"/>
      <c r="P330" s="209"/>
      <c r="Q330" s="209"/>
      <c r="R330" s="209"/>
      <c r="S330" s="209"/>
      <c r="T330" s="209"/>
      <c r="U330" s="209"/>
      <c r="V330" s="209"/>
      <c r="W330" s="209"/>
      <c r="X330" s="209"/>
    </row>
    <row r="331" spans="1:24" x14ac:dyDescent="0.25">
      <c r="A331" s="209"/>
      <c r="B331" s="357"/>
      <c r="C331" s="357"/>
      <c r="D331" s="357"/>
      <c r="E331" s="357"/>
      <c r="F331" s="357"/>
      <c r="G331" s="357"/>
      <c r="H331" s="357"/>
      <c r="I331" s="357"/>
      <c r="J331" s="593"/>
      <c r="K331" s="357"/>
      <c r="L331" s="357"/>
      <c r="M331" s="357"/>
      <c r="N331" s="209"/>
      <c r="O331" s="209"/>
      <c r="P331" s="209"/>
      <c r="Q331" s="209"/>
      <c r="R331" s="209"/>
      <c r="S331" s="209"/>
      <c r="T331" s="209"/>
      <c r="U331" s="209"/>
      <c r="V331" s="209"/>
      <c r="W331" s="209"/>
      <c r="X331" s="209"/>
    </row>
    <row r="332" spans="1:24" x14ac:dyDescent="0.25">
      <c r="A332" s="209"/>
      <c r="B332" s="357"/>
      <c r="C332" s="357"/>
      <c r="D332" s="357"/>
      <c r="E332" s="357"/>
      <c r="F332" s="357"/>
      <c r="G332" s="357"/>
      <c r="H332" s="357"/>
      <c r="I332" s="357"/>
      <c r="J332" s="593"/>
      <c r="K332" s="357"/>
      <c r="L332" s="357"/>
      <c r="M332" s="357"/>
      <c r="N332" s="209"/>
      <c r="O332" s="209"/>
      <c r="P332" s="209"/>
      <c r="Q332" s="209"/>
      <c r="R332" s="209"/>
      <c r="S332" s="209"/>
      <c r="T332" s="209"/>
      <c r="U332" s="209"/>
      <c r="V332" s="209"/>
      <c r="W332" s="209"/>
      <c r="X332" s="209"/>
    </row>
    <row r="333" spans="1:24" x14ac:dyDescent="0.25">
      <c r="A333" s="209"/>
      <c r="B333" s="357"/>
      <c r="C333" s="357"/>
      <c r="D333" s="357"/>
      <c r="E333" s="357"/>
      <c r="F333" s="357"/>
      <c r="G333" s="357"/>
      <c r="H333" s="357"/>
      <c r="I333" s="357"/>
      <c r="J333" s="593"/>
      <c r="K333" s="357"/>
      <c r="L333" s="357"/>
      <c r="M333" s="357"/>
      <c r="N333" s="209"/>
      <c r="O333" s="209"/>
      <c r="P333" s="209"/>
      <c r="Q333" s="209"/>
      <c r="R333" s="209"/>
      <c r="S333" s="209"/>
      <c r="T333" s="209"/>
      <c r="U333" s="209"/>
      <c r="V333" s="209"/>
      <c r="W333" s="209"/>
      <c r="X333" s="209"/>
    </row>
    <row r="334" spans="1:24" x14ac:dyDescent="0.25">
      <c r="A334" s="209"/>
      <c r="B334" s="357"/>
      <c r="C334" s="357"/>
      <c r="D334" s="357"/>
      <c r="E334" s="357"/>
      <c r="F334" s="357"/>
      <c r="G334" s="357"/>
      <c r="H334" s="357"/>
      <c r="I334" s="357"/>
      <c r="J334" s="593"/>
      <c r="K334" s="357"/>
      <c r="L334" s="357"/>
      <c r="M334" s="357"/>
      <c r="N334" s="209"/>
      <c r="O334" s="209"/>
      <c r="P334" s="209"/>
      <c r="Q334" s="209"/>
      <c r="R334" s="209"/>
      <c r="S334" s="209"/>
      <c r="T334" s="209"/>
      <c r="U334" s="209"/>
      <c r="V334" s="209"/>
      <c r="W334" s="209"/>
      <c r="X334" s="209"/>
    </row>
    <row r="335" spans="1:24" x14ac:dyDescent="0.25">
      <c r="A335" s="209"/>
      <c r="B335" s="357"/>
      <c r="C335" s="357"/>
      <c r="D335" s="357"/>
      <c r="E335" s="357"/>
      <c r="F335" s="357"/>
      <c r="G335" s="357"/>
      <c r="H335" s="357"/>
      <c r="I335" s="357"/>
      <c r="J335" s="593"/>
      <c r="K335" s="357"/>
      <c r="L335" s="357"/>
      <c r="M335" s="357"/>
      <c r="N335" s="209"/>
      <c r="O335" s="209"/>
      <c r="P335" s="209"/>
      <c r="Q335" s="209"/>
      <c r="R335" s="209"/>
      <c r="S335" s="209"/>
      <c r="T335" s="209"/>
      <c r="U335" s="209"/>
      <c r="V335" s="209"/>
      <c r="W335" s="209"/>
      <c r="X335" s="209"/>
    </row>
    <row r="336" spans="1:24" x14ac:dyDescent="0.25">
      <c r="A336" s="209"/>
      <c r="B336" s="357"/>
      <c r="C336" s="357"/>
      <c r="D336" s="357"/>
      <c r="E336" s="357"/>
      <c r="F336" s="357"/>
      <c r="G336" s="357"/>
      <c r="H336" s="357"/>
      <c r="I336" s="357"/>
      <c r="J336" s="593"/>
      <c r="K336" s="357"/>
      <c r="L336" s="357"/>
      <c r="M336" s="357"/>
      <c r="N336" s="209"/>
      <c r="O336" s="209"/>
      <c r="P336" s="209"/>
      <c r="Q336" s="209"/>
      <c r="R336" s="209"/>
      <c r="S336" s="209"/>
      <c r="T336" s="209"/>
      <c r="U336" s="209"/>
      <c r="V336" s="209"/>
      <c r="W336" s="209"/>
      <c r="X336" s="209"/>
    </row>
    <row r="337" spans="1:24" x14ac:dyDescent="0.25">
      <c r="A337" s="209"/>
      <c r="B337" s="357"/>
      <c r="C337" s="357"/>
      <c r="D337" s="357"/>
      <c r="E337" s="357"/>
      <c r="F337" s="357"/>
      <c r="G337" s="357"/>
      <c r="H337" s="357"/>
      <c r="I337" s="357"/>
      <c r="J337" s="593"/>
      <c r="K337" s="357"/>
      <c r="L337" s="357"/>
      <c r="M337" s="357"/>
      <c r="N337" s="209"/>
      <c r="O337" s="209"/>
      <c r="P337" s="209"/>
      <c r="Q337" s="209"/>
      <c r="R337" s="209"/>
      <c r="S337" s="209"/>
      <c r="T337" s="209"/>
      <c r="U337" s="209"/>
      <c r="V337" s="209"/>
      <c r="W337" s="209"/>
      <c r="X337" s="209"/>
    </row>
    <row r="338" spans="1:24" x14ac:dyDescent="0.25">
      <c r="A338" s="209"/>
      <c r="B338" s="357"/>
      <c r="C338" s="357"/>
      <c r="D338" s="357"/>
      <c r="E338" s="357"/>
      <c r="F338" s="357"/>
      <c r="G338" s="357"/>
      <c r="H338" s="357"/>
      <c r="I338" s="357"/>
      <c r="J338" s="593"/>
      <c r="K338" s="357"/>
      <c r="L338" s="357"/>
      <c r="M338" s="357"/>
      <c r="N338" s="209"/>
      <c r="O338" s="209"/>
      <c r="P338" s="209"/>
      <c r="Q338" s="209"/>
      <c r="R338" s="209"/>
      <c r="S338" s="209"/>
      <c r="T338" s="209"/>
      <c r="U338" s="209"/>
      <c r="V338" s="209"/>
      <c r="W338" s="209"/>
      <c r="X338" s="209"/>
    </row>
    <row r="339" spans="1:24" x14ac:dyDescent="0.25">
      <c r="A339" s="209"/>
      <c r="B339" s="357"/>
      <c r="C339" s="357"/>
      <c r="D339" s="357"/>
      <c r="E339" s="357"/>
      <c r="F339" s="357"/>
      <c r="G339" s="357"/>
      <c r="H339" s="357"/>
      <c r="I339" s="357"/>
      <c r="J339" s="593"/>
      <c r="K339" s="357"/>
      <c r="L339" s="357"/>
      <c r="M339" s="357"/>
      <c r="N339" s="209"/>
      <c r="O339" s="209"/>
      <c r="P339" s="209"/>
      <c r="Q339" s="209"/>
      <c r="R339" s="209"/>
      <c r="S339" s="209"/>
      <c r="T339" s="209"/>
      <c r="U339" s="209"/>
      <c r="V339" s="209"/>
      <c r="W339" s="209"/>
      <c r="X339" s="209"/>
    </row>
    <row r="340" spans="1:24" x14ac:dyDescent="0.25">
      <c r="A340" s="209"/>
      <c r="B340" s="357"/>
      <c r="C340" s="357"/>
      <c r="D340" s="357"/>
      <c r="E340" s="357"/>
      <c r="F340" s="357"/>
      <c r="G340" s="357"/>
      <c r="H340" s="357"/>
      <c r="I340" s="357"/>
      <c r="J340" s="593"/>
      <c r="K340" s="357"/>
      <c r="L340" s="357"/>
      <c r="M340" s="357"/>
      <c r="N340" s="209"/>
      <c r="O340" s="209"/>
      <c r="P340" s="209"/>
      <c r="Q340" s="209"/>
      <c r="R340" s="209"/>
      <c r="S340" s="209"/>
      <c r="T340" s="209"/>
      <c r="U340" s="209"/>
      <c r="V340" s="209"/>
      <c r="W340" s="209"/>
      <c r="X340" s="209"/>
    </row>
    <row r="341" spans="1:24" x14ac:dyDescent="0.25">
      <c r="A341" s="209"/>
      <c r="B341" s="357"/>
      <c r="C341" s="357"/>
      <c r="D341" s="357"/>
      <c r="E341" s="357"/>
      <c r="F341" s="357"/>
      <c r="G341" s="357"/>
      <c r="H341" s="357"/>
      <c r="I341" s="357"/>
      <c r="J341" s="593"/>
      <c r="K341" s="357"/>
      <c r="L341" s="357"/>
      <c r="M341" s="357"/>
      <c r="N341" s="209"/>
      <c r="O341" s="209"/>
      <c r="P341" s="209"/>
      <c r="Q341" s="209"/>
      <c r="R341" s="209"/>
      <c r="S341" s="209"/>
      <c r="T341" s="209"/>
      <c r="U341" s="209"/>
      <c r="V341" s="209"/>
      <c r="W341" s="209"/>
      <c r="X341" s="209"/>
    </row>
    <row r="342" spans="1:24" x14ac:dyDescent="0.25">
      <c r="A342" s="209"/>
      <c r="B342" s="357"/>
      <c r="C342" s="357"/>
      <c r="D342" s="357"/>
      <c r="E342" s="357"/>
      <c r="F342" s="357"/>
      <c r="G342" s="357"/>
      <c r="H342" s="357"/>
      <c r="I342" s="357"/>
      <c r="J342" s="593"/>
      <c r="K342" s="357"/>
      <c r="L342" s="357"/>
      <c r="M342" s="357"/>
      <c r="N342" s="209"/>
      <c r="O342" s="209"/>
      <c r="P342" s="209"/>
      <c r="Q342" s="209"/>
      <c r="R342" s="209"/>
      <c r="S342" s="209"/>
      <c r="T342" s="209"/>
      <c r="U342" s="209"/>
      <c r="V342" s="209"/>
      <c r="W342" s="209"/>
      <c r="X342" s="209"/>
    </row>
    <row r="343" spans="1:24" x14ac:dyDescent="0.25">
      <c r="A343" s="209"/>
      <c r="B343" s="357"/>
      <c r="C343" s="357"/>
      <c r="D343" s="357"/>
      <c r="E343" s="357"/>
      <c r="F343" s="357"/>
      <c r="G343" s="357"/>
      <c r="H343" s="357"/>
      <c r="I343" s="357"/>
      <c r="J343" s="593"/>
      <c r="K343" s="357"/>
      <c r="L343" s="357"/>
      <c r="M343" s="357"/>
      <c r="N343" s="209"/>
      <c r="O343" s="209"/>
      <c r="P343" s="209"/>
      <c r="Q343" s="209"/>
      <c r="R343" s="209"/>
      <c r="S343" s="209"/>
      <c r="T343" s="209"/>
      <c r="U343" s="209"/>
      <c r="V343" s="209"/>
      <c r="W343" s="209"/>
      <c r="X343" s="209"/>
    </row>
    <row r="344" spans="1:24" x14ac:dyDescent="0.25">
      <c r="A344" s="209"/>
      <c r="B344" s="357"/>
      <c r="C344" s="357"/>
      <c r="D344" s="357"/>
      <c r="E344" s="357"/>
      <c r="F344" s="357"/>
      <c r="G344" s="357"/>
      <c r="H344" s="357"/>
      <c r="I344" s="357"/>
      <c r="J344" s="593"/>
      <c r="K344" s="357"/>
      <c r="L344" s="357"/>
      <c r="M344" s="357"/>
      <c r="N344" s="209"/>
      <c r="O344" s="209"/>
      <c r="P344" s="209"/>
      <c r="Q344" s="209"/>
      <c r="R344" s="209"/>
      <c r="S344" s="209"/>
      <c r="T344" s="209"/>
      <c r="U344" s="209"/>
      <c r="V344" s="209"/>
      <c r="W344" s="209"/>
      <c r="X344" s="209"/>
    </row>
    <row r="345" spans="1:24" x14ac:dyDescent="0.25">
      <c r="A345" s="209"/>
      <c r="B345" s="357"/>
      <c r="C345" s="357"/>
      <c r="D345" s="357"/>
      <c r="E345" s="357"/>
      <c r="F345" s="357"/>
      <c r="G345" s="357"/>
      <c r="H345" s="357"/>
      <c r="I345" s="357"/>
      <c r="J345" s="593"/>
      <c r="K345" s="357"/>
      <c r="L345" s="357"/>
      <c r="M345" s="357"/>
      <c r="N345" s="209"/>
      <c r="O345" s="209"/>
      <c r="P345" s="209"/>
      <c r="Q345" s="209"/>
      <c r="R345" s="209"/>
      <c r="S345" s="209"/>
      <c r="T345" s="209"/>
      <c r="U345" s="209"/>
      <c r="V345" s="209"/>
      <c r="W345" s="209"/>
      <c r="X345" s="209"/>
    </row>
    <row r="346" spans="1:24" x14ac:dyDescent="0.25">
      <c r="A346" s="209"/>
      <c r="B346" s="357"/>
      <c r="C346" s="357"/>
      <c r="D346" s="357"/>
      <c r="E346" s="357"/>
      <c r="F346" s="357"/>
      <c r="G346" s="357"/>
      <c r="H346" s="357"/>
      <c r="I346" s="357"/>
      <c r="J346" s="593"/>
      <c r="K346" s="357"/>
      <c r="L346" s="357"/>
      <c r="M346" s="357"/>
      <c r="N346" s="209"/>
      <c r="O346" s="209"/>
      <c r="P346" s="209"/>
      <c r="Q346" s="209"/>
      <c r="R346" s="209"/>
      <c r="S346" s="209"/>
      <c r="T346" s="209"/>
      <c r="U346" s="209"/>
      <c r="V346" s="209"/>
      <c r="W346" s="209"/>
      <c r="X346" s="209"/>
    </row>
    <row r="347" spans="1:24" x14ac:dyDescent="0.25">
      <c r="A347" s="209"/>
      <c r="B347" s="357"/>
      <c r="C347" s="357"/>
      <c r="D347" s="357"/>
      <c r="E347" s="357"/>
      <c r="F347" s="357"/>
      <c r="G347" s="357"/>
      <c r="H347" s="357"/>
      <c r="I347" s="357"/>
      <c r="J347" s="593"/>
      <c r="K347" s="357"/>
      <c r="L347" s="357"/>
      <c r="M347" s="357"/>
      <c r="N347" s="209"/>
      <c r="O347" s="209"/>
      <c r="P347" s="209"/>
      <c r="Q347" s="209"/>
      <c r="R347" s="209"/>
      <c r="S347" s="209"/>
      <c r="T347" s="209"/>
      <c r="U347" s="209"/>
      <c r="V347" s="209"/>
      <c r="W347" s="209"/>
      <c r="X347" s="209"/>
    </row>
    <row r="348" spans="1:24" x14ac:dyDescent="0.25">
      <c r="A348" s="209"/>
      <c r="B348" s="357"/>
      <c r="C348" s="357"/>
      <c r="D348" s="357"/>
      <c r="E348" s="357"/>
      <c r="F348" s="357"/>
      <c r="G348" s="357"/>
      <c r="H348" s="357"/>
      <c r="I348" s="357"/>
      <c r="J348" s="593"/>
      <c r="K348" s="357"/>
      <c r="L348" s="357"/>
      <c r="M348" s="357"/>
      <c r="N348" s="209"/>
      <c r="O348" s="209"/>
      <c r="P348" s="209"/>
      <c r="Q348" s="209"/>
      <c r="R348" s="209"/>
      <c r="S348" s="209"/>
      <c r="T348" s="209"/>
      <c r="U348" s="209"/>
      <c r="V348" s="209"/>
      <c r="W348" s="209"/>
      <c r="X348" s="209"/>
    </row>
    <row r="349" spans="1:24" x14ac:dyDescent="0.25">
      <c r="A349" s="209"/>
      <c r="B349" s="357"/>
      <c r="C349" s="357"/>
      <c r="D349" s="357"/>
      <c r="E349" s="357"/>
      <c r="F349" s="357"/>
      <c r="G349" s="357"/>
      <c r="H349" s="357"/>
      <c r="I349" s="357"/>
      <c r="J349" s="593"/>
      <c r="K349" s="357"/>
      <c r="L349" s="357"/>
      <c r="M349" s="357"/>
      <c r="N349" s="209"/>
      <c r="O349" s="209"/>
      <c r="P349" s="209"/>
      <c r="Q349" s="209"/>
      <c r="R349" s="209"/>
      <c r="S349" s="209"/>
      <c r="T349" s="209"/>
      <c r="U349" s="209"/>
      <c r="V349" s="209"/>
      <c r="W349" s="209"/>
      <c r="X349" s="209"/>
    </row>
    <row r="350" spans="1:24" x14ac:dyDescent="0.25">
      <c r="A350" s="209"/>
      <c r="B350" s="357"/>
      <c r="C350" s="357"/>
      <c r="D350" s="357"/>
      <c r="E350" s="357"/>
      <c r="F350" s="357"/>
      <c r="G350" s="357"/>
      <c r="H350" s="357"/>
      <c r="I350" s="357"/>
      <c r="J350" s="593"/>
      <c r="K350" s="357"/>
      <c r="L350" s="357"/>
      <c r="M350" s="357"/>
      <c r="N350" s="209"/>
      <c r="O350" s="209"/>
      <c r="P350" s="209"/>
      <c r="Q350" s="209"/>
      <c r="R350" s="209"/>
      <c r="S350" s="209"/>
      <c r="T350" s="209"/>
      <c r="U350" s="209"/>
      <c r="V350" s="209"/>
      <c r="W350" s="209"/>
      <c r="X350" s="209"/>
    </row>
    <row r="351" spans="1:24" x14ac:dyDescent="0.25">
      <c r="A351" s="209"/>
      <c r="B351" s="357"/>
      <c r="C351" s="357"/>
      <c r="D351" s="357"/>
      <c r="E351" s="357"/>
      <c r="F351" s="357"/>
      <c r="G351" s="357"/>
      <c r="H351" s="357"/>
      <c r="I351" s="357"/>
      <c r="J351" s="593"/>
      <c r="K351" s="357"/>
      <c r="L351" s="357"/>
      <c r="M351" s="357"/>
      <c r="N351" s="209"/>
      <c r="O351" s="209"/>
      <c r="P351" s="209"/>
      <c r="Q351" s="209"/>
      <c r="R351" s="209"/>
      <c r="S351" s="209"/>
      <c r="T351" s="209"/>
      <c r="U351" s="209"/>
      <c r="V351" s="209"/>
      <c r="W351" s="209"/>
      <c r="X351" s="209"/>
    </row>
    <row r="352" spans="1:24" x14ac:dyDescent="0.25">
      <c r="A352" s="209"/>
      <c r="B352" s="357"/>
      <c r="C352" s="357"/>
      <c r="D352" s="357"/>
      <c r="E352" s="357"/>
      <c r="F352" s="357"/>
      <c r="G352" s="357"/>
      <c r="H352" s="357"/>
      <c r="I352" s="357"/>
      <c r="J352" s="593"/>
      <c r="K352" s="357"/>
      <c r="L352" s="357"/>
      <c r="M352" s="357"/>
      <c r="N352" s="209"/>
      <c r="O352" s="209"/>
      <c r="P352" s="209"/>
      <c r="Q352" s="209"/>
      <c r="R352" s="209"/>
      <c r="S352" s="209"/>
      <c r="T352" s="209"/>
      <c r="U352" s="209"/>
      <c r="V352" s="209"/>
      <c r="W352" s="209"/>
      <c r="X352" s="209"/>
    </row>
    <row r="353" spans="1:24" x14ac:dyDescent="0.25">
      <c r="A353" s="209"/>
      <c r="B353" s="357"/>
      <c r="C353" s="357"/>
      <c r="D353" s="357"/>
      <c r="E353" s="357"/>
      <c r="F353" s="357"/>
      <c r="G353" s="357"/>
      <c r="H353" s="357"/>
      <c r="I353" s="357"/>
      <c r="J353" s="593"/>
      <c r="K353" s="357"/>
      <c r="L353" s="357"/>
      <c r="M353" s="357"/>
      <c r="N353" s="209"/>
      <c r="O353" s="209"/>
      <c r="P353" s="209"/>
      <c r="Q353" s="209"/>
      <c r="R353" s="209"/>
      <c r="S353" s="209"/>
      <c r="T353" s="209"/>
      <c r="U353" s="209"/>
      <c r="V353" s="209"/>
      <c r="W353" s="209"/>
      <c r="X353" s="209"/>
    </row>
    <row r="354" spans="1:24" x14ac:dyDescent="0.25">
      <c r="A354" s="209"/>
      <c r="B354" s="357"/>
      <c r="C354" s="357"/>
      <c r="D354" s="357"/>
      <c r="E354" s="357"/>
      <c r="F354" s="357"/>
      <c r="G354" s="357"/>
      <c r="H354" s="357"/>
      <c r="I354" s="357"/>
      <c r="J354" s="593"/>
      <c r="K354" s="357"/>
      <c r="L354" s="357"/>
      <c r="M354" s="357"/>
      <c r="N354" s="209"/>
      <c r="O354" s="209"/>
      <c r="P354" s="209"/>
      <c r="Q354" s="209"/>
      <c r="R354" s="209"/>
      <c r="S354" s="209"/>
      <c r="T354" s="209"/>
      <c r="U354" s="209"/>
      <c r="V354" s="209"/>
      <c r="W354" s="209"/>
      <c r="X354" s="209"/>
    </row>
    <row r="355" spans="1:24" x14ac:dyDescent="0.25">
      <c r="A355" s="209"/>
      <c r="B355" s="357"/>
      <c r="C355" s="357"/>
      <c r="D355" s="357"/>
      <c r="E355" s="357"/>
      <c r="F355" s="357"/>
      <c r="G355" s="357"/>
      <c r="H355" s="357"/>
      <c r="I355" s="357"/>
      <c r="J355" s="593"/>
      <c r="K355" s="357"/>
      <c r="L355" s="357"/>
      <c r="M355" s="357"/>
      <c r="N355" s="209"/>
      <c r="O355" s="209"/>
      <c r="P355" s="209"/>
      <c r="Q355" s="209"/>
      <c r="R355" s="209"/>
      <c r="S355" s="209"/>
      <c r="T355" s="209"/>
      <c r="U355" s="209"/>
      <c r="V355" s="209"/>
      <c r="W355" s="209"/>
      <c r="X355" s="209"/>
    </row>
    <row r="356" spans="1:24" x14ac:dyDescent="0.25">
      <c r="A356" s="209"/>
      <c r="B356" s="357"/>
      <c r="C356" s="357"/>
      <c r="D356" s="357"/>
      <c r="E356" s="357"/>
      <c r="F356" s="357"/>
      <c r="G356" s="357"/>
      <c r="H356" s="357"/>
      <c r="I356" s="357"/>
      <c r="J356" s="593"/>
      <c r="K356" s="357"/>
      <c r="L356" s="357"/>
      <c r="M356" s="357"/>
      <c r="N356" s="209"/>
      <c r="O356" s="209"/>
      <c r="P356" s="209"/>
      <c r="Q356" s="209"/>
      <c r="R356" s="209"/>
      <c r="S356" s="209"/>
      <c r="T356" s="209"/>
      <c r="U356" s="209"/>
      <c r="V356" s="209"/>
      <c r="W356" s="209"/>
      <c r="X356" s="209"/>
    </row>
    <row r="357" spans="1:24" x14ac:dyDescent="0.25">
      <c r="A357" s="209"/>
      <c r="B357" s="357"/>
      <c r="C357" s="357"/>
      <c r="D357" s="357"/>
      <c r="E357" s="357"/>
      <c r="F357" s="357"/>
      <c r="G357" s="357"/>
      <c r="H357" s="357"/>
      <c r="I357" s="357"/>
      <c r="J357" s="593"/>
      <c r="K357" s="357"/>
      <c r="L357" s="357"/>
      <c r="M357" s="357"/>
      <c r="N357" s="209"/>
      <c r="O357" s="209"/>
      <c r="P357" s="209"/>
      <c r="Q357" s="209"/>
      <c r="R357" s="209"/>
      <c r="S357" s="209"/>
      <c r="T357" s="209"/>
      <c r="U357" s="209"/>
      <c r="V357" s="209"/>
      <c r="W357" s="209"/>
      <c r="X357" s="209"/>
    </row>
    <row r="358" spans="1:24" x14ac:dyDescent="0.25">
      <c r="A358" s="209"/>
      <c r="B358" s="357"/>
      <c r="C358" s="357"/>
      <c r="D358" s="357"/>
      <c r="E358" s="357"/>
      <c r="F358" s="357"/>
      <c r="G358" s="357"/>
      <c r="H358" s="357"/>
      <c r="I358" s="357"/>
      <c r="J358" s="593"/>
      <c r="K358" s="357"/>
      <c r="L358" s="357"/>
      <c r="M358" s="357"/>
      <c r="N358" s="209"/>
      <c r="O358" s="209"/>
      <c r="P358" s="209"/>
      <c r="Q358" s="209"/>
      <c r="R358" s="209"/>
      <c r="S358" s="209"/>
      <c r="T358" s="209"/>
      <c r="U358" s="209"/>
      <c r="V358" s="209"/>
      <c r="W358" s="209"/>
      <c r="X358" s="209"/>
    </row>
    <row r="359" spans="1:24" x14ac:dyDescent="0.25">
      <c r="A359" s="209"/>
      <c r="B359" s="357"/>
      <c r="C359" s="357"/>
      <c r="D359" s="357"/>
      <c r="E359" s="357"/>
      <c r="F359" s="357"/>
      <c r="G359" s="357"/>
      <c r="H359" s="357"/>
      <c r="I359" s="357"/>
      <c r="J359" s="593"/>
      <c r="K359" s="357"/>
      <c r="L359" s="357"/>
      <c r="M359" s="357"/>
      <c r="N359" s="209"/>
      <c r="O359" s="209"/>
      <c r="P359" s="209"/>
      <c r="Q359" s="209"/>
      <c r="R359" s="209"/>
      <c r="S359" s="209"/>
      <c r="T359" s="209"/>
      <c r="U359" s="209"/>
      <c r="V359" s="209"/>
      <c r="W359" s="209"/>
      <c r="X359" s="209"/>
    </row>
    <row r="360" spans="1:24" x14ac:dyDescent="0.25">
      <c r="A360" s="209"/>
      <c r="B360" s="357"/>
      <c r="C360" s="357"/>
      <c r="D360" s="357"/>
      <c r="E360" s="357"/>
      <c r="F360" s="357"/>
      <c r="G360" s="357"/>
      <c r="H360" s="357"/>
      <c r="I360" s="357"/>
      <c r="J360" s="593"/>
      <c r="K360" s="357"/>
      <c r="L360" s="357"/>
      <c r="M360" s="357"/>
      <c r="N360" s="209"/>
      <c r="O360" s="209"/>
      <c r="P360" s="209"/>
      <c r="Q360" s="209"/>
      <c r="R360" s="209"/>
      <c r="S360" s="209"/>
      <c r="T360" s="209"/>
      <c r="U360" s="209"/>
      <c r="V360" s="209"/>
      <c r="W360" s="209"/>
      <c r="X360" s="209"/>
    </row>
    <row r="361" spans="1:24" x14ac:dyDescent="0.25">
      <c r="A361" s="209"/>
      <c r="B361" s="209"/>
      <c r="C361" s="209"/>
      <c r="D361" s="209"/>
      <c r="E361" s="209"/>
      <c r="G361" s="209"/>
      <c r="H361" s="209"/>
      <c r="I361" s="209"/>
      <c r="J361" s="599"/>
      <c r="K361" s="209"/>
      <c r="L361" s="209"/>
      <c r="M361" s="209"/>
      <c r="N361" s="209"/>
      <c r="O361" s="209"/>
      <c r="P361" s="209"/>
      <c r="Q361" s="209"/>
      <c r="R361" s="209"/>
      <c r="S361" s="209"/>
      <c r="T361" s="209"/>
      <c r="U361" s="209"/>
      <c r="V361" s="209"/>
      <c r="W361" s="209"/>
      <c r="X361" s="209"/>
    </row>
    <row r="362" spans="1:24" x14ac:dyDescent="0.25">
      <c r="A362" s="209"/>
      <c r="B362" s="209"/>
      <c r="C362" s="209"/>
      <c r="D362" s="209"/>
      <c r="E362" s="209"/>
      <c r="G362" s="209"/>
      <c r="H362" s="209"/>
      <c r="I362" s="209"/>
      <c r="J362" s="599"/>
      <c r="K362" s="209"/>
      <c r="L362" s="209"/>
      <c r="M362" s="209"/>
      <c r="N362" s="209"/>
      <c r="O362" s="209"/>
      <c r="P362" s="209"/>
      <c r="Q362" s="209"/>
      <c r="R362" s="209"/>
      <c r="S362" s="209"/>
      <c r="T362" s="209"/>
      <c r="U362" s="209"/>
      <c r="V362" s="209"/>
      <c r="W362" s="209"/>
      <c r="X362" s="209"/>
    </row>
    <row r="363" spans="1:24" x14ac:dyDescent="0.25">
      <c r="A363" s="209"/>
      <c r="B363" s="209"/>
      <c r="C363" s="209"/>
      <c r="D363" s="209"/>
      <c r="E363" s="209"/>
      <c r="G363" s="209"/>
      <c r="H363" s="209"/>
      <c r="I363" s="209"/>
      <c r="J363" s="599"/>
      <c r="K363" s="209"/>
      <c r="L363" s="209"/>
      <c r="M363" s="209"/>
      <c r="N363" s="209"/>
      <c r="O363" s="209"/>
      <c r="P363" s="209"/>
      <c r="Q363" s="209"/>
      <c r="R363" s="209"/>
      <c r="S363" s="209"/>
      <c r="T363" s="209"/>
      <c r="U363" s="209"/>
      <c r="V363" s="209"/>
      <c r="W363" s="209"/>
      <c r="X363" s="209"/>
    </row>
    <row r="364" spans="1:24" x14ac:dyDescent="0.25">
      <c r="A364" s="209"/>
      <c r="B364" s="209"/>
      <c r="C364" s="209"/>
      <c r="D364" s="209"/>
      <c r="E364" s="209"/>
      <c r="G364" s="209"/>
      <c r="H364" s="209"/>
      <c r="I364" s="209"/>
      <c r="J364" s="599"/>
      <c r="K364" s="209"/>
      <c r="L364" s="209"/>
      <c r="M364" s="209"/>
      <c r="N364" s="209"/>
      <c r="O364" s="209"/>
      <c r="P364" s="209"/>
      <c r="Q364" s="209"/>
      <c r="R364" s="209"/>
      <c r="S364" s="209"/>
      <c r="T364" s="209"/>
      <c r="U364" s="209"/>
      <c r="V364" s="209"/>
      <c r="W364" s="209"/>
      <c r="X364" s="209"/>
    </row>
    <row r="365" spans="1:24" x14ac:dyDescent="0.25">
      <c r="A365" s="209"/>
      <c r="B365" s="209"/>
      <c r="C365" s="209"/>
      <c r="D365" s="209"/>
      <c r="E365" s="209"/>
      <c r="G365" s="209"/>
      <c r="H365" s="209"/>
      <c r="I365" s="209"/>
      <c r="J365" s="599"/>
      <c r="K365" s="209"/>
      <c r="L365" s="209"/>
      <c r="M365" s="209"/>
      <c r="N365" s="209"/>
      <c r="O365" s="209"/>
      <c r="P365" s="209"/>
      <c r="Q365" s="209"/>
      <c r="R365" s="209"/>
      <c r="S365" s="209"/>
      <c r="T365" s="209"/>
      <c r="U365" s="209"/>
      <c r="V365" s="209"/>
      <c r="W365" s="209"/>
      <c r="X365" s="209"/>
    </row>
    <row r="366" spans="1:24" x14ac:dyDescent="0.25">
      <c r="A366" s="209"/>
      <c r="B366" s="209"/>
      <c r="C366" s="209"/>
      <c r="D366" s="209"/>
      <c r="E366" s="209"/>
      <c r="G366" s="209"/>
      <c r="H366" s="209"/>
      <c r="I366" s="209"/>
      <c r="J366" s="599"/>
      <c r="K366" s="209"/>
      <c r="L366" s="209"/>
      <c r="M366" s="209"/>
      <c r="N366" s="209"/>
      <c r="O366" s="209"/>
      <c r="P366" s="209"/>
      <c r="Q366" s="209"/>
      <c r="R366" s="209"/>
      <c r="S366" s="209"/>
      <c r="T366" s="209"/>
      <c r="U366" s="209"/>
      <c r="V366" s="209"/>
      <c r="W366" s="209"/>
      <c r="X366" s="209"/>
    </row>
    <row r="367" spans="1:24" x14ac:dyDescent="0.25">
      <c r="A367" s="209"/>
      <c r="B367" s="209"/>
      <c r="C367" s="209"/>
      <c r="D367" s="209"/>
      <c r="E367" s="209"/>
      <c r="G367" s="209"/>
      <c r="H367" s="209"/>
      <c r="I367" s="209"/>
      <c r="J367" s="599"/>
      <c r="K367" s="209"/>
      <c r="L367" s="209"/>
      <c r="M367" s="209"/>
      <c r="N367" s="209"/>
      <c r="O367" s="209"/>
      <c r="P367" s="209"/>
      <c r="Q367" s="209"/>
      <c r="R367" s="209"/>
      <c r="S367" s="209"/>
      <c r="T367" s="209"/>
      <c r="U367" s="209"/>
      <c r="V367" s="209"/>
      <c r="W367" s="209"/>
      <c r="X367" s="209"/>
    </row>
    <row r="368" spans="1:24" x14ac:dyDescent="0.25">
      <c r="A368" s="209"/>
      <c r="B368" s="209"/>
      <c r="C368" s="209"/>
      <c r="D368" s="209"/>
      <c r="E368" s="209"/>
      <c r="G368" s="209"/>
      <c r="H368" s="209"/>
      <c r="I368" s="209"/>
      <c r="J368" s="599"/>
      <c r="K368" s="209"/>
      <c r="L368" s="209"/>
      <c r="M368" s="209"/>
      <c r="N368" s="209"/>
      <c r="O368" s="209"/>
      <c r="P368" s="209"/>
      <c r="Q368" s="209"/>
      <c r="R368" s="209"/>
      <c r="S368" s="209"/>
      <c r="T368" s="209"/>
      <c r="U368" s="209"/>
      <c r="V368" s="209"/>
      <c r="W368" s="209"/>
      <c r="X368" s="209"/>
    </row>
    <row r="369" spans="1:24" x14ac:dyDescent="0.25">
      <c r="A369" s="209"/>
      <c r="B369" s="209"/>
      <c r="C369" s="209"/>
      <c r="D369" s="209"/>
      <c r="E369" s="209"/>
      <c r="G369" s="209"/>
      <c r="H369" s="209"/>
      <c r="I369" s="209"/>
      <c r="J369" s="599"/>
      <c r="K369" s="209"/>
      <c r="L369" s="209"/>
      <c r="M369" s="209"/>
      <c r="N369" s="209"/>
      <c r="O369" s="209"/>
      <c r="P369" s="209"/>
      <c r="Q369" s="209"/>
      <c r="R369" s="209"/>
      <c r="S369" s="209"/>
      <c r="T369" s="209"/>
      <c r="U369" s="209"/>
      <c r="V369" s="209"/>
      <c r="W369" s="209"/>
      <c r="X369" s="209"/>
    </row>
    <row r="370" spans="1:24" x14ac:dyDescent="0.25">
      <c r="A370" s="209"/>
      <c r="B370" s="209"/>
      <c r="C370" s="209"/>
      <c r="D370" s="209"/>
      <c r="E370" s="209"/>
      <c r="G370" s="209"/>
      <c r="H370" s="209"/>
      <c r="I370" s="209"/>
      <c r="J370" s="599"/>
      <c r="K370" s="209"/>
      <c r="L370" s="209"/>
      <c r="M370" s="209"/>
      <c r="N370" s="209"/>
      <c r="O370" s="209"/>
      <c r="P370" s="209"/>
      <c r="Q370" s="209"/>
      <c r="R370" s="209"/>
      <c r="S370" s="209"/>
      <c r="T370" s="209"/>
      <c r="U370" s="209"/>
      <c r="V370" s="209"/>
      <c r="W370" s="209"/>
      <c r="X370" s="209"/>
    </row>
    <row r="371" spans="1:24" x14ac:dyDescent="0.25">
      <c r="A371" s="209"/>
      <c r="B371" s="209"/>
      <c r="C371" s="209"/>
      <c r="D371" s="209"/>
      <c r="E371" s="209"/>
      <c r="G371" s="209"/>
      <c r="H371" s="209"/>
      <c r="I371" s="209"/>
      <c r="J371" s="599"/>
      <c r="K371" s="209"/>
      <c r="L371" s="209"/>
      <c r="M371" s="209"/>
      <c r="N371" s="209"/>
      <c r="O371" s="209"/>
      <c r="P371" s="209"/>
      <c r="Q371" s="209"/>
      <c r="R371" s="209"/>
      <c r="S371" s="209"/>
      <c r="T371" s="209"/>
      <c r="U371" s="209"/>
      <c r="V371" s="209"/>
      <c r="W371" s="209"/>
      <c r="X371" s="209"/>
    </row>
    <row r="372" spans="1:24" x14ac:dyDescent="0.25">
      <c r="A372" s="209"/>
      <c r="B372" s="209"/>
      <c r="C372" s="209"/>
      <c r="D372" s="209"/>
      <c r="E372" s="209"/>
      <c r="G372" s="209"/>
      <c r="H372" s="209"/>
      <c r="I372" s="209"/>
      <c r="J372" s="599"/>
      <c r="K372" s="209"/>
      <c r="L372" s="209"/>
      <c r="M372" s="209"/>
      <c r="N372" s="209"/>
      <c r="O372" s="209"/>
      <c r="P372" s="209"/>
      <c r="Q372" s="209"/>
      <c r="R372" s="209"/>
      <c r="S372" s="209"/>
      <c r="T372" s="209"/>
      <c r="U372" s="209"/>
      <c r="V372" s="209"/>
      <c r="W372" s="209"/>
      <c r="X372" s="209"/>
    </row>
    <row r="373" spans="1:24" x14ac:dyDescent="0.25">
      <c r="A373" s="209"/>
      <c r="B373" s="209"/>
      <c r="C373" s="209"/>
      <c r="D373" s="209"/>
      <c r="E373" s="209"/>
      <c r="G373" s="209"/>
      <c r="H373" s="209"/>
      <c r="I373" s="209"/>
      <c r="J373" s="599"/>
      <c r="K373" s="209"/>
      <c r="L373" s="209"/>
      <c r="M373" s="209"/>
      <c r="N373" s="209"/>
      <c r="O373" s="209"/>
      <c r="P373" s="209"/>
      <c r="Q373" s="209"/>
      <c r="R373" s="209"/>
      <c r="S373" s="209"/>
      <c r="T373" s="209"/>
      <c r="U373" s="209"/>
      <c r="V373" s="209"/>
      <c r="W373" s="209"/>
      <c r="X373" s="209"/>
    </row>
    <row r="374" spans="1:24" x14ac:dyDescent="0.25">
      <c r="A374" s="209"/>
      <c r="B374" s="209"/>
      <c r="C374" s="209"/>
      <c r="D374" s="209"/>
      <c r="E374" s="209"/>
      <c r="G374" s="209"/>
      <c r="H374" s="209"/>
      <c r="I374" s="209"/>
      <c r="J374" s="599"/>
      <c r="K374" s="209"/>
      <c r="L374" s="209"/>
      <c r="M374" s="209"/>
      <c r="N374" s="209"/>
      <c r="O374" s="209"/>
      <c r="P374" s="209"/>
      <c r="Q374" s="209"/>
      <c r="R374" s="209"/>
      <c r="S374" s="209"/>
      <c r="T374" s="209"/>
      <c r="U374" s="209"/>
      <c r="V374" s="209"/>
      <c r="W374" s="209"/>
      <c r="X374" s="209"/>
    </row>
    <row r="375" spans="1:24" x14ac:dyDescent="0.25">
      <c r="A375" s="209"/>
      <c r="B375" s="209"/>
      <c r="C375" s="209"/>
      <c r="D375" s="209"/>
      <c r="E375" s="209"/>
      <c r="G375" s="209"/>
      <c r="H375" s="209"/>
      <c r="I375" s="209"/>
      <c r="J375" s="599"/>
      <c r="K375" s="209"/>
      <c r="L375" s="209"/>
      <c r="M375" s="209"/>
      <c r="N375" s="209"/>
      <c r="O375" s="209"/>
      <c r="P375" s="209"/>
      <c r="Q375" s="209"/>
      <c r="R375" s="209"/>
      <c r="S375" s="209"/>
      <c r="T375" s="209"/>
      <c r="U375" s="209"/>
      <c r="V375" s="209"/>
      <c r="W375" s="209"/>
      <c r="X375" s="209"/>
    </row>
    <row r="376" spans="1:24" x14ac:dyDescent="0.25">
      <c r="A376" s="209"/>
      <c r="B376" s="209"/>
      <c r="C376" s="209"/>
      <c r="D376" s="209"/>
      <c r="E376" s="209"/>
      <c r="G376" s="209"/>
      <c r="H376" s="209"/>
      <c r="I376" s="209"/>
      <c r="J376" s="599"/>
      <c r="K376" s="209"/>
      <c r="L376" s="209"/>
      <c r="M376" s="209"/>
      <c r="N376" s="209"/>
      <c r="O376" s="209"/>
      <c r="P376" s="209"/>
      <c r="Q376" s="209"/>
      <c r="R376" s="209"/>
      <c r="S376" s="209"/>
      <c r="T376" s="209"/>
      <c r="U376" s="209"/>
      <c r="V376" s="209"/>
      <c r="W376" s="209"/>
      <c r="X376" s="209"/>
    </row>
    <row r="377" spans="1:24" x14ac:dyDescent="0.25">
      <c r="A377" s="209"/>
      <c r="B377" s="209"/>
      <c r="C377" s="209"/>
      <c r="D377" s="209"/>
      <c r="E377" s="209"/>
      <c r="G377" s="209"/>
      <c r="H377" s="209"/>
      <c r="I377" s="209"/>
      <c r="J377" s="599"/>
      <c r="K377" s="209"/>
      <c r="L377" s="209"/>
      <c r="M377" s="209"/>
      <c r="N377" s="209"/>
      <c r="O377" s="209"/>
      <c r="P377" s="209"/>
      <c r="Q377" s="209"/>
      <c r="R377" s="209"/>
      <c r="S377" s="209"/>
      <c r="T377" s="209"/>
      <c r="U377" s="209"/>
      <c r="V377" s="209"/>
      <c r="W377" s="209"/>
      <c r="X377" s="209"/>
    </row>
    <row r="378" spans="1:24" x14ac:dyDescent="0.25">
      <c r="A378" s="209"/>
      <c r="B378" s="209"/>
      <c r="C378" s="209"/>
      <c r="D378" s="209"/>
      <c r="E378" s="209"/>
      <c r="G378" s="209"/>
      <c r="H378" s="209"/>
      <c r="I378" s="209"/>
      <c r="J378" s="599"/>
      <c r="K378" s="209"/>
      <c r="L378" s="209"/>
      <c r="M378" s="209"/>
      <c r="N378" s="209"/>
      <c r="O378" s="209"/>
      <c r="P378" s="209"/>
      <c r="Q378" s="209"/>
      <c r="R378" s="209"/>
      <c r="S378" s="209"/>
      <c r="T378" s="209"/>
      <c r="U378" s="209"/>
      <c r="V378" s="209"/>
      <c r="W378" s="209"/>
      <c r="X378" s="209"/>
    </row>
    <row r="379" spans="1:24" x14ac:dyDescent="0.25">
      <c r="A379" s="209"/>
      <c r="B379" s="209"/>
      <c r="C379" s="209"/>
      <c r="D379" s="209"/>
      <c r="E379" s="209"/>
      <c r="G379" s="209"/>
      <c r="H379" s="209"/>
      <c r="I379" s="209"/>
      <c r="J379" s="599"/>
      <c r="K379" s="209"/>
      <c r="L379" s="209"/>
      <c r="M379" s="209"/>
      <c r="N379" s="209"/>
      <c r="O379" s="209"/>
      <c r="P379" s="209"/>
      <c r="Q379" s="209"/>
      <c r="R379" s="209"/>
      <c r="S379" s="209"/>
      <c r="T379" s="209"/>
      <c r="U379" s="209"/>
      <c r="V379" s="209"/>
      <c r="W379" s="209"/>
      <c r="X379" s="209"/>
    </row>
    <row r="380" spans="1:24" x14ac:dyDescent="0.25">
      <c r="A380" s="209"/>
      <c r="B380" s="209"/>
      <c r="C380" s="209"/>
      <c r="D380" s="209"/>
      <c r="E380" s="209"/>
      <c r="G380" s="209"/>
      <c r="H380" s="209"/>
      <c r="I380" s="209"/>
      <c r="J380" s="599"/>
      <c r="K380" s="209"/>
      <c r="L380" s="209"/>
      <c r="M380" s="209"/>
      <c r="N380" s="209"/>
      <c r="O380" s="209"/>
      <c r="P380" s="209"/>
      <c r="Q380" s="209"/>
      <c r="R380" s="209"/>
      <c r="S380" s="209"/>
      <c r="T380" s="209"/>
      <c r="U380" s="209"/>
      <c r="V380" s="209"/>
      <c r="W380" s="209"/>
      <c r="X380" s="209"/>
    </row>
    <row r="381" spans="1:24" x14ac:dyDescent="0.25">
      <c r="A381" s="209"/>
      <c r="B381" s="209"/>
      <c r="C381" s="209"/>
      <c r="D381" s="209"/>
      <c r="E381" s="209"/>
      <c r="G381" s="209"/>
      <c r="H381" s="209"/>
      <c r="I381" s="209"/>
      <c r="J381" s="599"/>
      <c r="K381" s="209"/>
      <c r="L381" s="209"/>
      <c r="M381" s="209"/>
      <c r="N381" s="209"/>
      <c r="O381" s="209"/>
      <c r="P381" s="209"/>
      <c r="Q381" s="209"/>
      <c r="R381" s="209"/>
      <c r="S381" s="209"/>
      <c r="T381" s="209"/>
      <c r="U381" s="209"/>
      <c r="V381" s="209"/>
      <c r="W381" s="209"/>
      <c r="X381" s="209"/>
    </row>
    <row r="382" spans="1:24" x14ac:dyDescent="0.25">
      <c r="A382" s="209"/>
      <c r="B382" s="209"/>
      <c r="C382" s="209"/>
      <c r="D382" s="209"/>
      <c r="E382" s="209"/>
      <c r="G382" s="209"/>
      <c r="H382" s="209"/>
      <c r="I382" s="209"/>
      <c r="J382" s="599"/>
      <c r="K382" s="209"/>
      <c r="L382" s="209"/>
      <c r="M382" s="209"/>
      <c r="N382" s="209"/>
      <c r="O382" s="209"/>
      <c r="P382" s="209"/>
      <c r="Q382" s="209"/>
      <c r="R382" s="209"/>
      <c r="S382" s="209"/>
      <c r="T382" s="209"/>
      <c r="U382" s="209"/>
      <c r="V382" s="209"/>
      <c r="W382" s="209"/>
      <c r="X382" s="209"/>
    </row>
    <row r="383" spans="1:24" x14ac:dyDescent="0.25">
      <c r="A383" s="209"/>
      <c r="B383" s="209"/>
      <c r="C383" s="209"/>
      <c r="D383" s="209"/>
      <c r="E383" s="209"/>
      <c r="G383" s="209"/>
      <c r="H383" s="209"/>
      <c r="I383" s="209"/>
      <c r="J383" s="599"/>
      <c r="K383" s="209"/>
      <c r="L383" s="209"/>
      <c r="M383" s="209"/>
      <c r="N383" s="209"/>
      <c r="O383" s="209"/>
      <c r="P383" s="209"/>
      <c r="Q383" s="209"/>
      <c r="R383" s="209"/>
      <c r="S383" s="209"/>
      <c r="T383" s="209"/>
      <c r="U383" s="209"/>
      <c r="V383" s="209"/>
      <c r="W383" s="209"/>
      <c r="X383" s="209"/>
    </row>
    <row r="384" spans="1:24" x14ac:dyDescent="0.25">
      <c r="A384" s="209"/>
      <c r="B384" s="209"/>
      <c r="C384" s="209"/>
      <c r="D384" s="209"/>
      <c r="E384" s="209"/>
      <c r="G384" s="209"/>
      <c r="H384" s="209"/>
      <c r="I384" s="209"/>
      <c r="J384" s="599"/>
      <c r="K384" s="209"/>
      <c r="L384" s="209"/>
      <c r="M384" s="209"/>
      <c r="N384" s="209"/>
      <c r="O384" s="209"/>
      <c r="P384" s="209"/>
      <c r="Q384" s="209"/>
      <c r="R384" s="209"/>
      <c r="S384" s="209"/>
      <c r="T384" s="209"/>
      <c r="U384" s="209"/>
      <c r="V384" s="209"/>
      <c r="W384" s="209"/>
      <c r="X384" s="209"/>
    </row>
    <row r="385" spans="1:24" x14ac:dyDescent="0.25">
      <c r="A385" s="209"/>
      <c r="B385" s="209"/>
      <c r="C385" s="209"/>
      <c r="D385" s="209"/>
      <c r="E385" s="209"/>
      <c r="G385" s="209"/>
      <c r="H385" s="209"/>
      <c r="I385" s="209"/>
      <c r="J385" s="599"/>
      <c r="K385" s="209"/>
      <c r="L385" s="209"/>
      <c r="M385" s="209"/>
      <c r="N385" s="209"/>
      <c r="O385" s="209"/>
      <c r="P385" s="209"/>
      <c r="Q385" s="209"/>
      <c r="R385" s="209"/>
      <c r="S385" s="209"/>
      <c r="T385" s="209"/>
      <c r="U385" s="209"/>
      <c r="V385" s="209"/>
      <c r="W385" s="209"/>
      <c r="X385" s="209"/>
    </row>
    <row r="386" spans="1:24" x14ac:dyDescent="0.25">
      <c r="A386" s="209"/>
      <c r="B386" s="209"/>
      <c r="C386" s="209"/>
      <c r="D386" s="209"/>
      <c r="E386" s="209"/>
      <c r="G386" s="209"/>
      <c r="H386" s="209"/>
      <c r="I386" s="209"/>
      <c r="J386" s="599"/>
      <c r="K386" s="209"/>
      <c r="L386" s="209"/>
      <c r="M386" s="209"/>
      <c r="N386" s="209"/>
      <c r="O386" s="209"/>
      <c r="P386" s="209"/>
      <c r="Q386" s="209"/>
      <c r="R386" s="209"/>
      <c r="S386" s="209"/>
      <c r="T386" s="209"/>
      <c r="U386" s="209"/>
      <c r="V386" s="209"/>
      <c r="W386" s="209"/>
      <c r="X386" s="209"/>
    </row>
    <row r="387" spans="1:24" x14ac:dyDescent="0.25">
      <c r="A387" s="209"/>
      <c r="B387" s="209"/>
      <c r="C387" s="209"/>
      <c r="D387" s="209"/>
      <c r="E387" s="209"/>
      <c r="G387" s="209"/>
      <c r="H387" s="209"/>
      <c r="I387" s="209"/>
      <c r="J387" s="599"/>
      <c r="K387" s="209"/>
      <c r="L387" s="209"/>
      <c r="M387" s="209"/>
      <c r="N387" s="209"/>
      <c r="O387" s="209"/>
      <c r="P387" s="209"/>
      <c r="Q387" s="209"/>
      <c r="R387" s="209"/>
      <c r="S387" s="209"/>
      <c r="T387" s="209"/>
      <c r="U387" s="209"/>
      <c r="V387" s="209"/>
      <c r="W387" s="209"/>
      <c r="X387" s="209"/>
    </row>
    <row r="388" spans="1:24" x14ac:dyDescent="0.25">
      <c r="A388" s="209"/>
      <c r="B388" s="209"/>
      <c r="C388" s="209"/>
      <c r="D388" s="209"/>
      <c r="E388" s="209"/>
      <c r="G388" s="209"/>
      <c r="H388" s="209"/>
      <c r="I388" s="209"/>
      <c r="J388" s="599"/>
      <c r="K388" s="209"/>
      <c r="L388" s="209"/>
      <c r="M388" s="209"/>
      <c r="N388" s="209"/>
      <c r="O388" s="209"/>
      <c r="P388" s="209"/>
      <c r="Q388" s="209"/>
      <c r="R388" s="209"/>
      <c r="S388" s="209"/>
      <c r="T388" s="209"/>
      <c r="U388" s="209"/>
      <c r="V388" s="209"/>
      <c r="W388" s="209"/>
      <c r="X388" s="209"/>
    </row>
    <row r="389" spans="1:24" x14ac:dyDescent="0.25">
      <c r="A389" s="209"/>
      <c r="B389" s="209"/>
      <c r="C389" s="209"/>
      <c r="D389" s="209"/>
      <c r="E389" s="209"/>
      <c r="G389" s="209"/>
      <c r="H389" s="209"/>
      <c r="I389" s="209"/>
      <c r="J389" s="599"/>
      <c r="K389" s="209"/>
      <c r="L389" s="209"/>
      <c r="M389" s="209"/>
      <c r="N389" s="209"/>
      <c r="O389" s="209"/>
      <c r="P389" s="209"/>
      <c r="Q389" s="209"/>
      <c r="R389" s="209"/>
      <c r="S389" s="209"/>
      <c r="T389" s="209"/>
      <c r="U389" s="209"/>
      <c r="V389" s="209"/>
      <c r="W389" s="209"/>
      <c r="X389" s="209"/>
    </row>
    <row r="390" spans="1:24" x14ac:dyDescent="0.25">
      <c r="A390" s="209"/>
      <c r="B390" s="209"/>
      <c r="C390" s="209"/>
      <c r="D390" s="209"/>
      <c r="E390" s="209"/>
      <c r="G390" s="209"/>
      <c r="H390" s="209"/>
      <c r="I390" s="209"/>
      <c r="J390" s="599"/>
      <c r="K390" s="209"/>
      <c r="L390" s="209"/>
      <c r="M390" s="209"/>
      <c r="N390" s="209"/>
      <c r="O390" s="209"/>
      <c r="P390" s="209"/>
      <c r="Q390" s="209"/>
      <c r="R390" s="209"/>
      <c r="S390" s="209"/>
      <c r="T390" s="209"/>
      <c r="U390" s="209"/>
      <c r="V390" s="209"/>
      <c r="W390" s="209"/>
      <c r="X390" s="209"/>
    </row>
    <row r="391" spans="1:24" x14ac:dyDescent="0.25">
      <c r="A391" s="209"/>
      <c r="B391" s="209"/>
      <c r="C391" s="209"/>
      <c r="D391" s="209"/>
      <c r="E391" s="209"/>
      <c r="G391" s="209"/>
      <c r="H391" s="209"/>
      <c r="I391" s="209"/>
      <c r="J391" s="599"/>
      <c r="K391" s="209"/>
      <c r="L391" s="209"/>
      <c r="M391" s="209"/>
      <c r="N391" s="209"/>
      <c r="O391" s="209"/>
      <c r="P391" s="209"/>
      <c r="Q391" s="209"/>
      <c r="R391" s="209"/>
      <c r="S391" s="209"/>
      <c r="T391" s="209"/>
      <c r="U391" s="209"/>
      <c r="V391" s="209"/>
      <c r="W391" s="209"/>
      <c r="X391" s="209"/>
    </row>
    <row r="392" spans="1:24" x14ac:dyDescent="0.25">
      <c r="A392" s="209"/>
      <c r="B392" s="209"/>
      <c r="C392" s="209"/>
      <c r="D392" s="209"/>
      <c r="E392" s="209"/>
      <c r="G392" s="209"/>
      <c r="H392" s="209"/>
      <c r="I392" s="209"/>
      <c r="J392" s="599"/>
      <c r="K392" s="209"/>
      <c r="L392" s="209"/>
      <c r="M392" s="209"/>
      <c r="N392" s="209"/>
      <c r="O392" s="209"/>
      <c r="P392" s="209"/>
      <c r="Q392" s="209"/>
      <c r="R392" s="209"/>
      <c r="S392" s="209"/>
      <c r="T392" s="209"/>
      <c r="U392" s="209"/>
      <c r="V392" s="209"/>
      <c r="W392" s="209"/>
      <c r="X392" s="209"/>
    </row>
    <row r="393" spans="1:24" x14ac:dyDescent="0.25">
      <c r="A393" s="209"/>
      <c r="B393" s="209"/>
      <c r="C393" s="209"/>
      <c r="D393" s="209"/>
      <c r="E393" s="209"/>
      <c r="G393" s="209"/>
      <c r="H393" s="209"/>
      <c r="I393" s="209"/>
      <c r="J393" s="599"/>
      <c r="K393" s="209"/>
      <c r="L393" s="209"/>
      <c r="M393" s="209"/>
      <c r="N393" s="209"/>
      <c r="O393" s="209"/>
      <c r="P393" s="209"/>
      <c r="Q393" s="209"/>
      <c r="R393" s="209"/>
      <c r="S393" s="209"/>
      <c r="T393" s="209"/>
      <c r="U393" s="209"/>
      <c r="V393" s="209"/>
      <c r="W393" s="209"/>
      <c r="X393" s="209"/>
    </row>
    <row r="394" spans="1:24" x14ac:dyDescent="0.25">
      <c r="A394" s="209"/>
      <c r="B394" s="209"/>
      <c r="C394" s="209"/>
      <c r="D394" s="209"/>
      <c r="E394" s="209"/>
      <c r="G394" s="209"/>
      <c r="H394" s="209"/>
      <c r="I394" s="209"/>
      <c r="J394" s="599"/>
      <c r="K394" s="209"/>
      <c r="L394" s="209"/>
      <c r="M394" s="209"/>
      <c r="N394" s="209"/>
      <c r="O394" s="209"/>
      <c r="P394" s="209"/>
      <c r="Q394" s="209"/>
      <c r="R394" s="209"/>
      <c r="S394" s="209"/>
      <c r="T394" s="209"/>
      <c r="U394" s="209"/>
      <c r="V394" s="209"/>
      <c r="W394" s="209"/>
      <c r="X394" s="209"/>
    </row>
    <row r="395" spans="1:24" x14ac:dyDescent="0.25">
      <c r="A395" s="209"/>
      <c r="B395" s="209"/>
      <c r="C395" s="209"/>
      <c r="D395" s="209"/>
      <c r="E395" s="209"/>
      <c r="G395" s="209"/>
      <c r="H395" s="209"/>
      <c r="I395" s="209"/>
      <c r="J395" s="599"/>
      <c r="K395" s="209"/>
      <c r="L395" s="209"/>
      <c r="M395" s="209"/>
      <c r="N395" s="209"/>
      <c r="O395" s="209"/>
      <c r="P395" s="209"/>
      <c r="Q395" s="209"/>
      <c r="R395" s="209"/>
      <c r="S395" s="209"/>
      <c r="T395" s="209"/>
      <c r="U395" s="209"/>
      <c r="V395" s="209"/>
      <c r="W395" s="209"/>
      <c r="X395" s="209"/>
    </row>
    <row r="396" spans="1:24" x14ac:dyDescent="0.25">
      <c r="A396" s="209"/>
      <c r="B396" s="209"/>
      <c r="C396" s="209"/>
      <c r="D396" s="209"/>
      <c r="E396" s="209"/>
      <c r="G396" s="209"/>
      <c r="H396" s="209"/>
      <c r="I396" s="209"/>
      <c r="J396" s="599"/>
      <c r="K396" s="209"/>
      <c r="L396" s="209"/>
      <c r="M396" s="209"/>
      <c r="N396" s="209"/>
      <c r="O396" s="209"/>
      <c r="P396" s="209"/>
      <c r="Q396" s="209"/>
      <c r="R396" s="209"/>
      <c r="S396" s="209"/>
      <c r="T396" s="209"/>
      <c r="U396" s="209"/>
      <c r="V396" s="209"/>
      <c r="W396" s="209"/>
      <c r="X396" s="209"/>
    </row>
    <row r="397" spans="1:24" x14ac:dyDescent="0.25">
      <c r="A397" s="209"/>
      <c r="B397" s="209"/>
      <c r="C397" s="209"/>
      <c r="D397" s="209"/>
      <c r="E397" s="209"/>
      <c r="G397" s="209"/>
      <c r="H397" s="209"/>
      <c r="I397" s="209"/>
      <c r="J397" s="599"/>
      <c r="K397" s="209"/>
      <c r="L397" s="209"/>
      <c r="M397" s="209"/>
      <c r="N397" s="209"/>
      <c r="O397" s="209"/>
      <c r="P397" s="209"/>
      <c r="Q397" s="209"/>
      <c r="R397" s="209"/>
      <c r="S397" s="209"/>
      <c r="T397" s="209"/>
      <c r="U397" s="209"/>
      <c r="V397" s="209"/>
      <c r="W397" s="209"/>
      <c r="X397" s="209"/>
    </row>
    <row r="398" spans="1:24" x14ac:dyDescent="0.25">
      <c r="A398" s="209"/>
      <c r="B398" s="209"/>
      <c r="C398" s="209"/>
      <c r="D398" s="209"/>
      <c r="E398" s="209"/>
      <c r="G398" s="209"/>
      <c r="H398" s="209"/>
      <c r="I398" s="209"/>
      <c r="J398" s="599"/>
      <c r="K398" s="209"/>
      <c r="L398" s="209"/>
      <c r="M398" s="209"/>
      <c r="N398" s="209"/>
      <c r="O398" s="209"/>
      <c r="P398" s="209"/>
      <c r="Q398" s="209"/>
      <c r="R398" s="209"/>
      <c r="S398" s="209"/>
      <c r="T398" s="209"/>
      <c r="U398" s="209"/>
      <c r="V398" s="209"/>
      <c r="W398" s="209"/>
      <c r="X398" s="209"/>
    </row>
    <row r="399" spans="1:24" x14ac:dyDescent="0.25">
      <c r="A399" s="209"/>
      <c r="B399" s="209"/>
      <c r="C399" s="209"/>
      <c r="D399" s="209"/>
      <c r="E399" s="209"/>
      <c r="G399" s="209"/>
      <c r="H399" s="209"/>
      <c r="I399" s="209"/>
      <c r="J399" s="599"/>
      <c r="K399" s="209"/>
      <c r="L399" s="209"/>
      <c r="M399" s="209"/>
      <c r="N399" s="209"/>
      <c r="O399" s="209"/>
      <c r="P399" s="209"/>
      <c r="Q399" s="209"/>
      <c r="R399" s="209"/>
      <c r="S399" s="209"/>
      <c r="T399" s="209"/>
      <c r="U399" s="209"/>
      <c r="V399" s="209"/>
      <c r="W399" s="209"/>
      <c r="X399" s="209"/>
    </row>
    <row r="400" spans="1:24" x14ac:dyDescent="0.25">
      <c r="A400" s="209"/>
      <c r="B400" s="209"/>
      <c r="C400" s="209"/>
      <c r="D400" s="209"/>
      <c r="E400" s="209"/>
      <c r="G400" s="209"/>
      <c r="H400" s="209"/>
      <c r="I400" s="209"/>
      <c r="J400" s="599"/>
      <c r="K400" s="209"/>
      <c r="L400" s="209"/>
      <c r="M400" s="209"/>
      <c r="N400" s="209"/>
      <c r="O400" s="209"/>
      <c r="P400" s="209"/>
      <c r="Q400" s="209"/>
      <c r="R400" s="209"/>
      <c r="S400" s="209"/>
      <c r="T400" s="209"/>
      <c r="U400" s="209"/>
      <c r="V400" s="209"/>
      <c r="W400" s="209"/>
      <c r="X400" s="209"/>
    </row>
    <row r="401" spans="1:24" x14ac:dyDescent="0.25">
      <c r="A401" s="209"/>
      <c r="B401" s="209"/>
      <c r="C401" s="209"/>
      <c r="D401" s="209"/>
      <c r="E401" s="209"/>
      <c r="G401" s="209"/>
      <c r="H401" s="209"/>
      <c r="I401" s="209"/>
      <c r="J401" s="599"/>
      <c r="K401" s="209"/>
      <c r="L401" s="209"/>
      <c r="M401" s="209"/>
      <c r="N401" s="209"/>
      <c r="O401" s="209"/>
      <c r="P401" s="209"/>
      <c r="Q401" s="209"/>
      <c r="R401" s="209"/>
      <c r="S401" s="209"/>
      <c r="T401" s="209"/>
      <c r="U401" s="209"/>
      <c r="V401" s="209"/>
      <c r="W401" s="209"/>
      <c r="X401" s="209"/>
    </row>
    <row r="402" spans="1:24" x14ac:dyDescent="0.25">
      <c r="A402" s="209"/>
      <c r="B402" s="209"/>
      <c r="C402" s="209"/>
      <c r="D402" s="209"/>
      <c r="E402" s="209"/>
      <c r="G402" s="209"/>
      <c r="H402" s="209"/>
      <c r="I402" s="209"/>
      <c r="J402" s="599"/>
      <c r="K402" s="209"/>
      <c r="L402" s="209"/>
      <c r="M402" s="209"/>
      <c r="N402" s="209"/>
      <c r="O402" s="209"/>
      <c r="P402" s="209"/>
      <c r="Q402" s="209"/>
      <c r="R402" s="209"/>
      <c r="S402" s="209"/>
      <c r="T402" s="209"/>
      <c r="U402" s="209"/>
      <c r="V402" s="209"/>
      <c r="W402" s="209"/>
      <c r="X402" s="209"/>
    </row>
    <row r="403" spans="1:24" x14ac:dyDescent="0.25">
      <c r="A403" s="209"/>
      <c r="B403" s="209"/>
      <c r="C403" s="209"/>
      <c r="D403" s="209"/>
      <c r="E403" s="209"/>
      <c r="G403" s="209"/>
      <c r="H403" s="209"/>
      <c r="I403" s="209"/>
      <c r="J403" s="599"/>
      <c r="K403" s="209"/>
      <c r="L403" s="209"/>
      <c r="M403" s="209"/>
      <c r="N403" s="209"/>
      <c r="O403" s="209"/>
      <c r="P403" s="209"/>
      <c r="Q403" s="209"/>
      <c r="R403" s="209"/>
      <c r="S403" s="209"/>
      <c r="T403" s="209"/>
      <c r="U403" s="209"/>
      <c r="V403" s="209"/>
      <c r="W403" s="209"/>
      <c r="X403" s="209"/>
    </row>
    <row r="404" spans="1:24" x14ac:dyDescent="0.25">
      <c r="A404" s="209"/>
      <c r="B404" s="209"/>
      <c r="C404" s="209"/>
      <c r="D404" s="209"/>
      <c r="E404" s="209"/>
      <c r="G404" s="209"/>
      <c r="H404" s="209"/>
      <c r="I404" s="209"/>
      <c r="J404" s="599"/>
      <c r="K404" s="209"/>
      <c r="L404" s="209"/>
      <c r="M404" s="209"/>
      <c r="N404" s="209"/>
      <c r="O404" s="209"/>
      <c r="P404" s="209"/>
      <c r="Q404" s="209"/>
      <c r="R404" s="209"/>
      <c r="S404" s="209"/>
      <c r="T404" s="209"/>
      <c r="U404" s="209"/>
      <c r="V404" s="209"/>
      <c r="W404" s="209"/>
      <c r="X404" s="209"/>
    </row>
    <row r="405" spans="1:24" x14ac:dyDescent="0.25">
      <c r="A405" s="209"/>
      <c r="B405" s="209"/>
      <c r="C405" s="209"/>
      <c r="D405" s="209"/>
      <c r="E405" s="209"/>
      <c r="G405" s="209"/>
      <c r="H405" s="209"/>
      <c r="I405" s="209"/>
      <c r="J405" s="599"/>
      <c r="K405" s="209"/>
      <c r="L405" s="209"/>
      <c r="M405" s="209"/>
      <c r="N405" s="209"/>
      <c r="O405" s="209"/>
      <c r="P405" s="209"/>
      <c r="Q405" s="209"/>
      <c r="R405" s="209"/>
      <c r="S405" s="209"/>
      <c r="T405" s="209"/>
      <c r="U405" s="209"/>
      <c r="V405" s="209"/>
      <c r="W405" s="209"/>
      <c r="X405" s="209"/>
    </row>
    <row r="406" spans="1:24" x14ac:dyDescent="0.25">
      <c r="A406" s="209"/>
      <c r="B406" s="209"/>
      <c r="C406" s="209"/>
      <c r="D406" s="209"/>
      <c r="E406" s="209"/>
      <c r="G406" s="209"/>
      <c r="H406" s="209"/>
      <c r="I406" s="209"/>
      <c r="J406" s="599"/>
      <c r="K406" s="209"/>
      <c r="L406" s="209"/>
      <c r="M406" s="209"/>
      <c r="N406" s="209"/>
      <c r="O406" s="209"/>
      <c r="P406" s="209"/>
      <c r="Q406" s="209"/>
      <c r="R406" s="209"/>
      <c r="S406" s="209"/>
      <c r="T406" s="209"/>
      <c r="U406" s="209"/>
      <c r="V406" s="209"/>
      <c r="W406" s="209"/>
      <c r="X406" s="209"/>
    </row>
    <row r="407" spans="1:24" x14ac:dyDescent="0.25">
      <c r="A407" s="209"/>
      <c r="B407" s="209"/>
      <c r="C407" s="209"/>
      <c r="D407" s="209"/>
      <c r="E407" s="209"/>
      <c r="G407" s="209"/>
      <c r="H407" s="209"/>
      <c r="I407" s="209"/>
      <c r="J407" s="599"/>
      <c r="K407" s="209"/>
      <c r="L407" s="209"/>
      <c r="M407" s="209"/>
      <c r="N407" s="209"/>
      <c r="O407" s="209"/>
      <c r="P407" s="209"/>
      <c r="Q407" s="209"/>
      <c r="R407" s="209"/>
      <c r="S407" s="209"/>
      <c r="T407" s="209"/>
      <c r="U407" s="209"/>
      <c r="V407" s="209"/>
      <c r="W407" s="209"/>
      <c r="X407" s="209"/>
    </row>
    <row r="408" spans="1:24" x14ac:dyDescent="0.25">
      <c r="A408" s="209"/>
      <c r="B408" s="209"/>
      <c r="C408" s="209"/>
      <c r="D408" s="209"/>
      <c r="E408" s="209"/>
      <c r="G408" s="209"/>
      <c r="H408" s="209"/>
      <c r="I408" s="209"/>
      <c r="J408" s="599"/>
      <c r="K408" s="209"/>
      <c r="L408" s="209"/>
      <c r="M408" s="209"/>
      <c r="N408" s="209"/>
      <c r="O408" s="209"/>
      <c r="P408" s="209"/>
      <c r="Q408" s="209"/>
      <c r="R408" s="209"/>
      <c r="S408" s="209"/>
      <c r="T408" s="209"/>
      <c r="U408" s="209"/>
      <c r="V408" s="209"/>
      <c r="W408" s="209"/>
      <c r="X408" s="209"/>
    </row>
    <row r="409" spans="1:24" x14ac:dyDescent="0.25">
      <c r="A409" s="209"/>
      <c r="B409" s="209"/>
      <c r="C409" s="209"/>
      <c r="D409" s="209"/>
      <c r="E409" s="209"/>
      <c r="G409" s="209"/>
      <c r="H409" s="209"/>
      <c r="I409" s="209"/>
      <c r="J409" s="599"/>
      <c r="K409" s="209"/>
      <c r="L409" s="209"/>
      <c r="M409" s="209"/>
      <c r="N409" s="209"/>
      <c r="O409" s="209"/>
      <c r="P409" s="209"/>
      <c r="Q409" s="209"/>
      <c r="R409" s="209"/>
      <c r="S409" s="209"/>
      <c r="T409" s="209"/>
      <c r="U409" s="209"/>
      <c r="V409" s="209"/>
      <c r="W409" s="209"/>
      <c r="X409" s="209"/>
    </row>
    <row r="410" spans="1:24" x14ac:dyDescent="0.25">
      <c r="A410" s="209"/>
      <c r="B410" s="209"/>
      <c r="C410" s="209"/>
      <c r="D410" s="209"/>
      <c r="E410" s="209"/>
      <c r="G410" s="209"/>
      <c r="H410" s="209"/>
      <c r="I410" s="209"/>
      <c r="J410" s="599"/>
      <c r="K410" s="209"/>
      <c r="L410" s="209"/>
      <c r="M410" s="209"/>
      <c r="N410" s="209"/>
      <c r="O410" s="209"/>
      <c r="P410" s="209"/>
      <c r="Q410" s="209"/>
      <c r="R410" s="209"/>
      <c r="S410" s="209"/>
      <c r="T410" s="209"/>
      <c r="U410" s="209"/>
      <c r="V410" s="209"/>
      <c r="W410" s="209"/>
      <c r="X410" s="209"/>
    </row>
    <row r="411" spans="1:24" x14ac:dyDescent="0.25">
      <c r="A411" s="209"/>
      <c r="B411" s="209"/>
      <c r="C411" s="209"/>
      <c r="D411" s="209"/>
      <c r="E411" s="209"/>
      <c r="G411" s="209"/>
      <c r="H411" s="209"/>
      <c r="I411" s="209"/>
      <c r="J411" s="599"/>
      <c r="K411" s="209"/>
      <c r="L411" s="209"/>
      <c r="M411" s="209"/>
      <c r="N411" s="209"/>
      <c r="O411" s="209"/>
      <c r="P411" s="209"/>
      <c r="Q411" s="209"/>
      <c r="R411" s="209"/>
      <c r="S411" s="209"/>
      <c r="T411" s="209"/>
      <c r="U411" s="209"/>
      <c r="V411" s="209"/>
      <c r="W411" s="209"/>
      <c r="X411" s="209"/>
    </row>
    <row r="412" spans="1:24" x14ac:dyDescent="0.25">
      <c r="A412" s="209"/>
      <c r="B412" s="209"/>
      <c r="C412" s="209"/>
      <c r="D412" s="209"/>
      <c r="E412" s="209"/>
      <c r="G412" s="209"/>
      <c r="H412" s="209"/>
      <c r="I412" s="209"/>
      <c r="J412" s="599"/>
      <c r="K412" s="209"/>
      <c r="L412" s="209"/>
      <c r="M412" s="209"/>
      <c r="N412" s="209"/>
      <c r="O412" s="209"/>
      <c r="P412" s="209"/>
      <c r="Q412" s="209"/>
      <c r="R412" s="209"/>
      <c r="S412" s="209"/>
      <c r="T412" s="209"/>
      <c r="U412" s="209"/>
      <c r="V412" s="209"/>
      <c r="W412" s="209"/>
      <c r="X412" s="209"/>
    </row>
    <row r="413" spans="1:24" x14ac:dyDescent="0.25">
      <c r="A413" s="209"/>
      <c r="B413" s="209"/>
      <c r="C413" s="209"/>
      <c r="D413" s="209"/>
      <c r="E413" s="209"/>
      <c r="G413" s="209"/>
      <c r="H413" s="209"/>
      <c r="I413" s="209"/>
      <c r="J413" s="599"/>
      <c r="K413" s="209"/>
      <c r="L413" s="209"/>
      <c r="M413" s="209"/>
      <c r="N413" s="209"/>
      <c r="O413" s="209"/>
      <c r="P413" s="209"/>
      <c r="Q413" s="209"/>
      <c r="R413" s="209"/>
      <c r="S413" s="209"/>
      <c r="T413" s="209"/>
      <c r="U413" s="209"/>
      <c r="V413" s="209"/>
      <c r="W413" s="209"/>
      <c r="X413" s="209"/>
    </row>
    <row r="414" spans="1:24" x14ac:dyDescent="0.25">
      <c r="A414" s="209"/>
      <c r="B414" s="209"/>
      <c r="C414" s="209"/>
      <c r="D414" s="209"/>
      <c r="E414" s="209"/>
      <c r="G414" s="209"/>
      <c r="H414" s="209"/>
      <c r="I414" s="209"/>
      <c r="J414" s="599"/>
      <c r="K414" s="209"/>
      <c r="L414" s="209"/>
      <c r="M414" s="209"/>
      <c r="N414" s="209"/>
      <c r="O414" s="209"/>
      <c r="P414" s="209"/>
      <c r="Q414" s="209"/>
      <c r="R414" s="209"/>
      <c r="S414" s="209"/>
      <c r="T414" s="209"/>
      <c r="U414" s="209"/>
      <c r="V414" s="209"/>
      <c r="W414" s="209"/>
      <c r="X414" s="209"/>
    </row>
    <row r="415" spans="1:24" x14ac:dyDescent="0.25">
      <c r="A415" s="209"/>
      <c r="B415" s="209"/>
      <c r="C415" s="209"/>
      <c r="D415" s="209"/>
      <c r="E415" s="209"/>
      <c r="G415" s="209"/>
      <c r="H415" s="209"/>
      <c r="I415" s="209"/>
      <c r="J415" s="599"/>
      <c r="K415" s="209"/>
      <c r="L415" s="209"/>
      <c r="M415" s="209"/>
      <c r="N415" s="209"/>
      <c r="O415" s="209"/>
      <c r="P415" s="209"/>
      <c r="Q415" s="209"/>
      <c r="R415" s="209"/>
      <c r="S415" s="209"/>
      <c r="T415" s="209"/>
      <c r="U415" s="209"/>
      <c r="V415" s="209"/>
      <c r="W415" s="209"/>
      <c r="X415" s="209"/>
    </row>
    <row r="416" spans="1:24" x14ac:dyDescent="0.25">
      <c r="A416" s="209"/>
      <c r="B416" s="209"/>
      <c r="C416" s="209"/>
      <c r="D416" s="209"/>
      <c r="E416" s="209"/>
      <c r="G416" s="209"/>
      <c r="H416" s="209"/>
      <c r="I416" s="209"/>
      <c r="J416" s="599"/>
      <c r="K416" s="209"/>
      <c r="L416" s="209"/>
      <c r="M416" s="209"/>
      <c r="N416" s="209"/>
      <c r="O416" s="209"/>
      <c r="P416" s="209"/>
      <c r="Q416" s="209"/>
      <c r="R416" s="209"/>
      <c r="S416" s="209"/>
      <c r="T416" s="209"/>
      <c r="U416" s="209"/>
      <c r="V416" s="209"/>
      <c r="W416" s="209"/>
      <c r="X416" s="209"/>
    </row>
    <row r="417" spans="1:24" x14ac:dyDescent="0.25">
      <c r="A417" s="209"/>
      <c r="B417" s="209"/>
      <c r="C417" s="209"/>
      <c r="D417" s="209"/>
      <c r="E417" s="209"/>
      <c r="G417" s="209"/>
      <c r="H417" s="209"/>
      <c r="I417" s="209"/>
      <c r="J417" s="599"/>
      <c r="K417" s="209"/>
      <c r="L417" s="209"/>
      <c r="M417" s="209"/>
      <c r="N417" s="209"/>
      <c r="O417" s="209"/>
      <c r="P417" s="209"/>
      <c r="Q417" s="209"/>
      <c r="R417" s="209"/>
      <c r="S417" s="209"/>
      <c r="T417" s="209"/>
      <c r="U417" s="209"/>
      <c r="V417" s="209"/>
      <c r="W417" s="209"/>
      <c r="X417" s="209"/>
    </row>
    <row r="418" spans="1:24" x14ac:dyDescent="0.25">
      <c r="A418" s="209"/>
      <c r="B418" s="209"/>
      <c r="C418" s="209"/>
      <c r="D418" s="209"/>
      <c r="E418" s="209"/>
      <c r="G418" s="209"/>
      <c r="H418" s="209"/>
      <c r="I418" s="209"/>
      <c r="J418" s="599"/>
      <c r="K418" s="209"/>
      <c r="L418" s="209"/>
      <c r="M418" s="209"/>
      <c r="N418" s="209"/>
      <c r="O418" s="209"/>
      <c r="P418" s="209"/>
      <c r="Q418" s="209"/>
      <c r="R418" s="209"/>
      <c r="S418" s="209"/>
      <c r="T418" s="209"/>
      <c r="U418" s="209"/>
      <c r="V418" s="209"/>
      <c r="W418" s="209"/>
      <c r="X418" s="209"/>
    </row>
    <row r="419" spans="1:24" x14ac:dyDescent="0.25">
      <c r="A419" s="209"/>
      <c r="B419" s="209"/>
      <c r="C419" s="209"/>
      <c r="D419" s="209"/>
      <c r="E419" s="209"/>
      <c r="G419" s="209"/>
      <c r="H419" s="209"/>
      <c r="I419" s="209"/>
      <c r="J419" s="599"/>
      <c r="K419" s="209"/>
      <c r="L419" s="209"/>
      <c r="M419" s="209"/>
      <c r="N419" s="209"/>
      <c r="O419" s="209"/>
      <c r="P419" s="209"/>
      <c r="Q419" s="209"/>
      <c r="R419" s="209"/>
      <c r="S419" s="209"/>
      <c r="T419" s="209"/>
      <c r="U419" s="209"/>
      <c r="V419" s="209"/>
      <c r="W419" s="209"/>
      <c r="X419" s="209"/>
    </row>
    <row r="420" spans="1:24" x14ac:dyDescent="0.25">
      <c r="A420" s="209"/>
      <c r="B420" s="209"/>
      <c r="C420" s="209"/>
      <c r="D420" s="209"/>
      <c r="E420" s="209"/>
      <c r="G420" s="209"/>
      <c r="H420" s="209"/>
      <c r="I420" s="209"/>
      <c r="J420" s="599"/>
      <c r="K420" s="209"/>
      <c r="L420" s="209"/>
      <c r="M420" s="209"/>
      <c r="N420" s="209"/>
      <c r="O420" s="209"/>
      <c r="P420" s="209"/>
      <c r="Q420" s="209"/>
      <c r="R420" s="209"/>
      <c r="S420" s="209"/>
      <c r="T420" s="209"/>
      <c r="U420" s="209"/>
      <c r="V420" s="209"/>
      <c r="W420" s="209"/>
      <c r="X420" s="209"/>
    </row>
    <row r="421" spans="1:24" x14ac:dyDescent="0.25">
      <c r="A421" s="209"/>
      <c r="B421" s="209"/>
      <c r="C421" s="209"/>
      <c r="D421" s="209"/>
      <c r="E421" s="209"/>
      <c r="G421" s="209"/>
      <c r="H421" s="209"/>
      <c r="I421" s="209"/>
      <c r="J421" s="599"/>
      <c r="K421" s="209"/>
      <c r="L421" s="209"/>
      <c r="M421" s="209"/>
      <c r="N421" s="209"/>
      <c r="O421" s="209"/>
      <c r="P421" s="209"/>
      <c r="Q421" s="209"/>
      <c r="R421" s="209"/>
      <c r="S421" s="209"/>
      <c r="T421" s="209"/>
      <c r="U421" s="209"/>
      <c r="V421" s="209"/>
      <c r="W421" s="209"/>
      <c r="X421" s="209"/>
    </row>
    <row r="422" spans="1:24" x14ac:dyDescent="0.25">
      <c r="A422" s="209"/>
      <c r="B422" s="209"/>
      <c r="C422" s="209"/>
      <c r="D422" s="209"/>
      <c r="E422" s="209"/>
      <c r="G422" s="209"/>
      <c r="H422" s="209"/>
      <c r="I422" s="209"/>
      <c r="J422" s="599"/>
      <c r="K422" s="209"/>
      <c r="L422" s="209"/>
      <c r="M422" s="209"/>
      <c r="N422" s="209"/>
      <c r="O422" s="209"/>
      <c r="P422" s="209"/>
      <c r="Q422" s="209"/>
      <c r="R422" s="209"/>
      <c r="S422" s="209"/>
      <c r="T422" s="209"/>
      <c r="U422" s="209"/>
      <c r="V422" s="209"/>
      <c r="W422" s="209"/>
      <c r="X422" s="209"/>
    </row>
    <row r="423" spans="1:24" x14ac:dyDescent="0.25">
      <c r="A423" s="209"/>
      <c r="B423" s="209"/>
      <c r="C423" s="209"/>
      <c r="D423" s="209"/>
      <c r="E423" s="209"/>
      <c r="G423" s="209"/>
      <c r="H423" s="209"/>
      <c r="I423" s="209"/>
      <c r="J423" s="599"/>
      <c r="K423" s="209"/>
      <c r="L423" s="209"/>
      <c r="M423" s="209"/>
      <c r="N423" s="209"/>
      <c r="O423" s="209"/>
      <c r="P423" s="209"/>
      <c r="Q423" s="209"/>
      <c r="R423" s="209"/>
      <c r="S423" s="209"/>
      <c r="T423" s="209"/>
      <c r="U423" s="209"/>
      <c r="V423" s="209"/>
      <c r="W423" s="209"/>
      <c r="X423" s="209"/>
    </row>
    <row r="424" spans="1:24" x14ac:dyDescent="0.25">
      <c r="A424" s="209"/>
      <c r="B424" s="209"/>
      <c r="C424" s="209"/>
      <c r="D424" s="209"/>
      <c r="E424" s="209"/>
      <c r="G424" s="209"/>
      <c r="H424" s="209"/>
      <c r="I424" s="209"/>
      <c r="J424" s="599"/>
      <c r="K424" s="209"/>
      <c r="L424" s="209"/>
      <c r="M424" s="209"/>
      <c r="N424" s="209"/>
      <c r="O424" s="209"/>
      <c r="P424" s="209"/>
      <c r="Q424" s="209"/>
      <c r="R424" s="209"/>
      <c r="S424" s="209"/>
      <c r="T424" s="209"/>
      <c r="U424" s="209"/>
      <c r="V424" s="209"/>
      <c r="W424" s="209"/>
      <c r="X424" s="209"/>
    </row>
    <row r="425" spans="1:24" x14ac:dyDescent="0.25">
      <c r="A425" s="209"/>
      <c r="B425" s="209"/>
      <c r="C425" s="209"/>
      <c r="D425" s="209"/>
      <c r="E425" s="209"/>
      <c r="G425" s="209"/>
      <c r="H425" s="209"/>
      <c r="I425" s="209"/>
      <c r="J425" s="599"/>
      <c r="K425" s="209"/>
      <c r="L425" s="209"/>
      <c r="M425" s="209"/>
      <c r="N425" s="209"/>
      <c r="O425" s="209"/>
      <c r="P425" s="209"/>
      <c r="Q425" s="209"/>
      <c r="R425" s="209"/>
      <c r="S425" s="209"/>
      <c r="T425" s="209"/>
      <c r="U425" s="209"/>
      <c r="V425" s="209"/>
      <c r="W425" s="209"/>
      <c r="X425" s="209"/>
    </row>
    <row r="426" spans="1:24" x14ac:dyDescent="0.25">
      <c r="A426" s="209"/>
      <c r="B426" s="209"/>
      <c r="C426" s="209"/>
      <c r="D426" s="209"/>
      <c r="E426" s="209"/>
      <c r="G426" s="209"/>
      <c r="H426" s="209"/>
      <c r="I426" s="209"/>
      <c r="J426" s="599"/>
      <c r="K426" s="209"/>
      <c r="L426" s="209"/>
      <c r="M426" s="209"/>
      <c r="N426" s="209"/>
      <c r="O426" s="209"/>
      <c r="P426" s="209"/>
      <c r="Q426" s="209"/>
      <c r="R426" s="209"/>
      <c r="S426" s="209"/>
      <c r="T426" s="209"/>
      <c r="U426" s="209"/>
      <c r="V426" s="209"/>
      <c r="W426" s="209"/>
      <c r="X426" s="209"/>
    </row>
    <row r="427" spans="1:24" x14ac:dyDescent="0.25">
      <c r="A427" s="209"/>
      <c r="B427" s="209"/>
      <c r="C427" s="209"/>
      <c r="D427" s="209"/>
      <c r="E427" s="209"/>
      <c r="G427" s="209"/>
      <c r="H427" s="209"/>
      <c r="I427" s="209"/>
      <c r="J427" s="599"/>
      <c r="K427" s="209"/>
      <c r="L427" s="209"/>
      <c r="M427" s="209"/>
      <c r="N427" s="209"/>
      <c r="O427" s="209"/>
      <c r="P427" s="209"/>
      <c r="Q427" s="209"/>
      <c r="R427" s="209"/>
      <c r="S427" s="209"/>
      <c r="T427" s="209"/>
      <c r="U427" s="209"/>
      <c r="V427" s="209"/>
      <c r="W427" s="209"/>
      <c r="X427" s="209"/>
    </row>
    <row r="428" spans="1:24" x14ac:dyDescent="0.25">
      <c r="A428" s="209"/>
      <c r="B428" s="209"/>
      <c r="C428" s="209"/>
      <c r="D428" s="209"/>
      <c r="E428" s="209"/>
      <c r="G428" s="209"/>
      <c r="H428" s="209"/>
      <c r="I428" s="209"/>
      <c r="J428" s="599"/>
      <c r="K428" s="209"/>
      <c r="L428" s="209"/>
      <c r="M428" s="209"/>
      <c r="N428" s="209"/>
      <c r="O428" s="209"/>
      <c r="P428" s="209"/>
      <c r="Q428" s="209"/>
      <c r="R428" s="209"/>
      <c r="S428" s="209"/>
      <c r="T428" s="209"/>
      <c r="U428" s="209"/>
      <c r="V428" s="209"/>
      <c r="W428" s="209"/>
      <c r="X428" s="209"/>
    </row>
    <row r="429" spans="1:24" x14ac:dyDescent="0.25">
      <c r="A429" s="209"/>
      <c r="B429" s="209"/>
      <c r="C429" s="209"/>
      <c r="D429" s="209"/>
      <c r="E429" s="209"/>
      <c r="G429" s="209"/>
      <c r="H429" s="209"/>
      <c r="I429" s="209"/>
      <c r="J429" s="599"/>
      <c r="K429" s="209"/>
      <c r="L429" s="209"/>
      <c r="M429" s="209"/>
      <c r="N429" s="209"/>
      <c r="O429" s="209"/>
      <c r="P429" s="209"/>
      <c r="Q429" s="209"/>
      <c r="R429" s="209"/>
      <c r="S429" s="209"/>
      <c r="T429" s="209"/>
      <c r="U429" s="209"/>
      <c r="V429" s="209"/>
      <c r="W429" s="209"/>
      <c r="X429" s="209"/>
    </row>
    <row r="430" spans="1:24" x14ac:dyDescent="0.25">
      <c r="A430" s="209"/>
      <c r="B430" s="209"/>
      <c r="C430" s="209"/>
      <c r="D430" s="209"/>
      <c r="E430" s="209"/>
      <c r="G430" s="209"/>
      <c r="H430" s="209"/>
      <c r="I430" s="209"/>
      <c r="J430" s="599"/>
      <c r="K430" s="209"/>
      <c r="L430" s="209"/>
      <c r="M430" s="209"/>
      <c r="N430" s="209"/>
      <c r="O430" s="209"/>
      <c r="P430" s="209"/>
      <c r="Q430" s="209"/>
      <c r="R430" s="209"/>
      <c r="S430" s="209"/>
      <c r="T430" s="209"/>
      <c r="U430" s="209"/>
      <c r="V430" s="209"/>
      <c r="W430" s="209"/>
      <c r="X430" s="209"/>
    </row>
    <row r="431" spans="1:24" x14ac:dyDescent="0.25">
      <c r="A431" s="209"/>
      <c r="B431" s="209"/>
      <c r="C431" s="209"/>
      <c r="D431" s="209"/>
      <c r="E431" s="209"/>
      <c r="G431" s="209"/>
      <c r="H431" s="209"/>
      <c r="I431" s="209"/>
      <c r="J431" s="599"/>
      <c r="K431" s="209"/>
      <c r="L431" s="209"/>
      <c r="M431" s="209"/>
      <c r="N431" s="209"/>
      <c r="O431" s="209"/>
      <c r="P431" s="209"/>
      <c r="Q431" s="209"/>
      <c r="R431" s="209"/>
      <c r="S431" s="209"/>
      <c r="T431" s="209"/>
      <c r="U431" s="209"/>
      <c r="V431" s="209"/>
      <c r="W431" s="209"/>
      <c r="X431" s="209"/>
    </row>
    <row r="432" spans="1:24" x14ac:dyDescent="0.25">
      <c r="A432" s="209"/>
      <c r="B432" s="209"/>
      <c r="C432" s="209"/>
      <c r="D432" s="209"/>
      <c r="E432" s="209"/>
      <c r="G432" s="209"/>
      <c r="H432" s="209"/>
      <c r="I432" s="209"/>
      <c r="J432" s="599"/>
      <c r="K432" s="209"/>
      <c r="L432" s="209"/>
      <c r="M432" s="209"/>
      <c r="N432" s="209"/>
      <c r="O432" s="209"/>
      <c r="P432" s="209"/>
      <c r="Q432" s="209"/>
      <c r="R432" s="209"/>
      <c r="S432" s="209"/>
      <c r="T432" s="209"/>
      <c r="U432" s="209"/>
      <c r="V432" s="209"/>
      <c r="W432" s="209"/>
      <c r="X432" s="209"/>
    </row>
    <row r="433" spans="1:24" x14ac:dyDescent="0.25">
      <c r="A433" s="209"/>
      <c r="B433" s="209"/>
      <c r="C433" s="209"/>
      <c r="D433" s="209"/>
      <c r="E433" s="209"/>
      <c r="G433" s="209"/>
      <c r="H433" s="209"/>
      <c r="I433" s="209"/>
      <c r="J433" s="599"/>
      <c r="K433" s="209"/>
      <c r="L433" s="209"/>
      <c r="M433" s="209"/>
      <c r="N433" s="209"/>
      <c r="O433" s="209"/>
      <c r="P433" s="209"/>
      <c r="Q433" s="209"/>
      <c r="R433" s="209"/>
      <c r="S433" s="209"/>
      <c r="T433" s="209"/>
      <c r="U433" s="209"/>
      <c r="V433" s="209"/>
      <c r="W433" s="209"/>
      <c r="X433" s="209"/>
    </row>
    <row r="434" spans="1:24" x14ac:dyDescent="0.25">
      <c r="A434" s="209"/>
      <c r="B434" s="209"/>
      <c r="C434" s="209"/>
      <c r="D434" s="209"/>
      <c r="E434" s="209"/>
      <c r="G434" s="209"/>
      <c r="H434" s="209"/>
      <c r="I434" s="209"/>
      <c r="J434" s="599"/>
      <c r="K434" s="209"/>
      <c r="L434" s="209"/>
      <c r="M434" s="209"/>
      <c r="N434" s="209"/>
      <c r="O434" s="209"/>
      <c r="P434" s="209"/>
      <c r="Q434" s="209"/>
      <c r="R434" s="209"/>
      <c r="S434" s="209"/>
      <c r="T434" s="209"/>
      <c r="U434" s="209"/>
      <c r="V434" s="209"/>
      <c r="W434" s="209"/>
      <c r="X434" s="209"/>
    </row>
    <row r="435" spans="1:24" x14ac:dyDescent="0.25">
      <c r="A435" s="209"/>
      <c r="B435" s="209"/>
      <c r="C435" s="209"/>
      <c r="D435" s="209"/>
      <c r="E435" s="209"/>
      <c r="G435" s="209"/>
      <c r="H435" s="209"/>
      <c r="I435" s="209"/>
      <c r="J435" s="599"/>
      <c r="K435" s="209"/>
      <c r="L435" s="209"/>
      <c r="M435" s="209"/>
      <c r="N435" s="209"/>
      <c r="O435" s="209"/>
      <c r="P435" s="209"/>
      <c r="Q435" s="209"/>
      <c r="R435" s="209"/>
      <c r="S435" s="209"/>
      <c r="T435" s="209"/>
      <c r="U435" s="209"/>
      <c r="V435" s="209"/>
      <c r="W435" s="209"/>
      <c r="X435" s="209"/>
    </row>
    <row r="436" spans="1:24" x14ac:dyDescent="0.25">
      <c r="A436" s="209"/>
      <c r="B436" s="209"/>
      <c r="C436" s="209"/>
      <c r="D436" s="209"/>
      <c r="E436" s="209"/>
      <c r="G436" s="209"/>
      <c r="H436" s="209"/>
      <c r="I436" s="209"/>
      <c r="J436" s="599"/>
      <c r="K436" s="209"/>
      <c r="L436" s="209"/>
      <c r="M436" s="209"/>
      <c r="N436" s="209"/>
      <c r="O436" s="209"/>
      <c r="P436" s="209"/>
      <c r="Q436" s="209"/>
      <c r="R436" s="209"/>
      <c r="S436" s="209"/>
      <c r="T436" s="209"/>
      <c r="U436" s="209"/>
      <c r="V436" s="209"/>
      <c r="W436" s="209"/>
      <c r="X436" s="209"/>
    </row>
    <row r="437" spans="1:24" x14ac:dyDescent="0.25">
      <c r="A437" s="209"/>
      <c r="B437" s="209"/>
      <c r="C437" s="209"/>
      <c r="D437" s="209"/>
      <c r="E437" s="209"/>
      <c r="G437" s="209"/>
      <c r="H437" s="209"/>
      <c r="I437" s="209"/>
      <c r="J437" s="599"/>
      <c r="K437" s="209"/>
      <c r="L437" s="209"/>
      <c r="M437" s="209"/>
      <c r="N437" s="209"/>
      <c r="O437" s="209"/>
      <c r="P437" s="209"/>
      <c r="Q437" s="209"/>
      <c r="R437" s="209"/>
      <c r="S437" s="209"/>
      <c r="T437" s="209"/>
      <c r="U437" s="209"/>
      <c r="V437" s="209"/>
      <c r="W437" s="209"/>
      <c r="X437" s="209"/>
    </row>
    <row r="438" spans="1:24" x14ac:dyDescent="0.25">
      <c r="A438" s="209"/>
      <c r="B438" s="209"/>
      <c r="C438" s="209"/>
      <c r="D438" s="209"/>
      <c r="E438" s="209"/>
      <c r="G438" s="209"/>
      <c r="H438" s="209"/>
      <c r="I438" s="209"/>
      <c r="J438" s="599"/>
      <c r="K438" s="209"/>
      <c r="L438" s="209"/>
      <c r="M438" s="209"/>
      <c r="N438" s="209"/>
      <c r="O438" s="209"/>
      <c r="P438" s="209"/>
      <c r="Q438" s="209"/>
      <c r="R438" s="209"/>
      <c r="S438" s="209"/>
      <c r="T438" s="209"/>
      <c r="U438" s="209"/>
      <c r="V438" s="209"/>
      <c r="W438" s="209"/>
      <c r="X438" s="209"/>
    </row>
    <row r="439" spans="1:24" x14ac:dyDescent="0.25">
      <c r="A439" s="209"/>
      <c r="B439" s="209"/>
      <c r="C439" s="209"/>
      <c r="D439" s="209"/>
      <c r="E439" s="209"/>
      <c r="G439" s="209"/>
      <c r="H439" s="209"/>
      <c r="I439" s="209"/>
      <c r="J439" s="599"/>
      <c r="K439" s="209"/>
      <c r="L439" s="209"/>
      <c r="M439" s="209"/>
      <c r="N439" s="209"/>
      <c r="O439" s="209"/>
      <c r="P439" s="209"/>
      <c r="Q439" s="209"/>
      <c r="R439" s="209"/>
      <c r="S439" s="209"/>
      <c r="T439" s="209"/>
      <c r="U439" s="209"/>
      <c r="V439" s="209"/>
      <c r="W439" s="209"/>
      <c r="X439" s="209"/>
    </row>
    <row r="440" spans="1:24" x14ac:dyDescent="0.25">
      <c r="A440" s="209"/>
      <c r="B440" s="209"/>
      <c r="C440" s="209"/>
      <c r="D440" s="209"/>
      <c r="E440" s="209"/>
      <c r="G440" s="209"/>
      <c r="H440" s="209"/>
      <c r="I440" s="209"/>
      <c r="J440" s="599"/>
      <c r="K440" s="209"/>
      <c r="L440" s="209"/>
      <c r="M440" s="209"/>
      <c r="N440" s="209"/>
      <c r="O440" s="209"/>
      <c r="P440" s="209"/>
      <c r="Q440" s="209"/>
      <c r="R440" s="209"/>
      <c r="S440" s="209"/>
      <c r="T440" s="209"/>
      <c r="U440" s="209"/>
      <c r="V440" s="209"/>
      <c r="W440" s="209"/>
      <c r="X440" s="209"/>
    </row>
    <row r="441" spans="1:24" x14ac:dyDescent="0.25">
      <c r="A441" s="209"/>
      <c r="B441" s="209"/>
      <c r="C441" s="209"/>
      <c r="D441" s="209"/>
      <c r="E441" s="209"/>
      <c r="G441" s="209"/>
      <c r="H441" s="209"/>
      <c r="I441" s="209"/>
      <c r="J441" s="599"/>
      <c r="K441" s="209"/>
      <c r="L441" s="209"/>
      <c r="M441" s="209"/>
      <c r="N441" s="209"/>
      <c r="O441" s="209"/>
      <c r="P441" s="209"/>
      <c r="Q441" s="209"/>
      <c r="R441" s="209"/>
      <c r="S441" s="209"/>
      <c r="T441" s="209"/>
      <c r="U441" s="209"/>
      <c r="V441" s="209"/>
      <c r="W441" s="209"/>
      <c r="X441" s="209"/>
    </row>
    <row r="442" spans="1:24" x14ac:dyDescent="0.25">
      <c r="A442" s="209"/>
      <c r="B442" s="209"/>
      <c r="C442" s="209"/>
      <c r="D442" s="209"/>
      <c r="E442" s="209"/>
      <c r="G442" s="209"/>
      <c r="H442" s="209"/>
      <c r="I442" s="209"/>
      <c r="J442" s="599"/>
      <c r="K442" s="209"/>
      <c r="L442" s="209"/>
      <c r="M442" s="209"/>
      <c r="N442" s="209"/>
      <c r="O442" s="209"/>
      <c r="P442" s="209"/>
      <c r="Q442" s="209"/>
      <c r="R442" s="209"/>
      <c r="S442" s="209"/>
      <c r="T442" s="209"/>
      <c r="U442" s="209"/>
      <c r="V442" s="209"/>
      <c r="W442" s="209"/>
      <c r="X442" s="209"/>
    </row>
    <row r="443" spans="1:24" x14ac:dyDescent="0.25">
      <c r="A443" s="209"/>
      <c r="B443" s="209"/>
      <c r="C443" s="209"/>
      <c r="D443" s="209"/>
      <c r="E443" s="209"/>
      <c r="G443" s="209"/>
      <c r="H443" s="209"/>
      <c r="I443" s="209"/>
      <c r="J443" s="599"/>
      <c r="K443" s="209"/>
      <c r="L443" s="209"/>
      <c r="M443" s="209"/>
      <c r="N443" s="209"/>
      <c r="O443" s="209"/>
      <c r="P443" s="209"/>
      <c r="Q443" s="209"/>
      <c r="R443" s="209"/>
      <c r="S443" s="209"/>
      <c r="T443" s="209"/>
      <c r="U443" s="209"/>
      <c r="V443" s="209"/>
      <c r="W443" s="209"/>
      <c r="X443" s="209"/>
    </row>
    <row r="444" spans="1:24" x14ac:dyDescent="0.25">
      <c r="A444" s="209"/>
      <c r="B444" s="209"/>
      <c r="C444" s="209"/>
      <c r="D444" s="209"/>
      <c r="E444" s="209"/>
      <c r="G444" s="209"/>
      <c r="H444" s="209"/>
      <c r="I444" s="209"/>
      <c r="J444" s="599"/>
      <c r="K444" s="209"/>
      <c r="L444" s="209"/>
      <c r="M444" s="209"/>
      <c r="N444" s="209"/>
      <c r="O444" s="209"/>
      <c r="P444" s="209"/>
      <c r="Q444" s="209"/>
      <c r="R444" s="209"/>
      <c r="S444" s="209"/>
      <c r="T444" s="209"/>
      <c r="U444" s="209"/>
      <c r="V444" s="209"/>
      <c r="W444" s="209"/>
      <c r="X444" s="209"/>
    </row>
    <row r="445" spans="1:24" x14ac:dyDescent="0.25">
      <c r="A445" s="209"/>
      <c r="B445" s="209"/>
      <c r="C445" s="209"/>
      <c r="D445" s="209"/>
      <c r="E445" s="209"/>
      <c r="G445" s="209"/>
      <c r="H445" s="209"/>
      <c r="I445" s="209"/>
      <c r="J445" s="599"/>
      <c r="K445" s="209"/>
      <c r="L445" s="209"/>
      <c r="M445" s="209"/>
      <c r="N445" s="209"/>
      <c r="O445" s="209"/>
      <c r="P445" s="209"/>
      <c r="Q445" s="209"/>
      <c r="R445" s="209"/>
      <c r="S445" s="209"/>
      <c r="T445" s="209"/>
      <c r="U445" s="209"/>
      <c r="V445" s="209"/>
      <c r="W445" s="209"/>
      <c r="X445" s="209"/>
    </row>
    <row r="446" spans="1:24" x14ac:dyDescent="0.25">
      <c r="A446" s="209"/>
      <c r="B446" s="209"/>
      <c r="C446" s="209"/>
      <c r="D446" s="209"/>
      <c r="E446" s="209"/>
      <c r="G446" s="209"/>
      <c r="H446" s="209"/>
      <c r="I446" s="209"/>
      <c r="J446" s="599"/>
      <c r="K446" s="209"/>
      <c r="L446" s="209"/>
      <c r="M446" s="209"/>
      <c r="N446" s="209"/>
      <c r="O446" s="209"/>
      <c r="P446" s="209"/>
      <c r="Q446" s="209"/>
      <c r="R446" s="209"/>
      <c r="S446" s="209"/>
      <c r="T446" s="209"/>
      <c r="U446" s="209"/>
      <c r="V446" s="209"/>
      <c r="W446" s="209"/>
      <c r="X446" s="209"/>
    </row>
    <row r="447" spans="1:24" x14ac:dyDescent="0.25">
      <c r="A447" s="209"/>
      <c r="B447" s="209"/>
      <c r="C447" s="209"/>
      <c r="D447" s="209"/>
      <c r="E447" s="209"/>
      <c r="G447" s="209"/>
      <c r="H447" s="209"/>
      <c r="I447" s="209"/>
      <c r="J447" s="599"/>
      <c r="K447" s="209"/>
      <c r="L447" s="209"/>
      <c r="M447" s="209"/>
      <c r="N447" s="209"/>
      <c r="O447" s="209"/>
      <c r="P447" s="209"/>
      <c r="Q447" s="209"/>
      <c r="R447" s="209"/>
      <c r="S447" s="209"/>
      <c r="T447" s="209"/>
      <c r="U447" s="209"/>
      <c r="V447" s="209"/>
      <c r="W447" s="209"/>
      <c r="X447" s="209"/>
    </row>
    <row r="448" spans="1:24" x14ac:dyDescent="0.25">
      <c r="A448" s="209"/>
      <c r="B448" s="209"/>
      <c r="C448" s="209"/>
      <c r="D448" s="209"/>
      <c r="E448" s="209"/>
      <c r="G448" s="209"/>
      <c r="H448" s="209"/>
      <c r="I448" s="209"/>
      <c r="J448" s="599"/>
      <c r="K448" s="209"/>
      <c r="L448" s="209"/>
      <c r="M448" s="209"/>
      <c r="N448" s="209"/>
      <c r="O448" s="209"/>
      <c r="P448" s="209"/>
      <c r="Q448" s="209"/>
      <c r="R448" s="209"/>
      <c r="S448" s="209"/>
      <c r="T448" s="209"/>
      <c r="U448" s="209"/>
      <c r="V448" s="209"/>
      <c r="W448" s="209"/>
      <c r="X448" s="209"/>
    </row>
    <row r="449" spans="1:24" x14ac:dyDescent="0.25">
      <c r="A449" s="209"/>
      <c r="B449" s="209"/>
      <c r="C449" s="209"/>
      <c r="D449" s="209"/>
      <c r="E449" s="209"/>
      <c r="G449" s="209"/>
      <c r="H449" s="209"/>
      <c r="I449" s="209"/>
      <c r="J449" s="599"/>
      <c r="K449" s="209"/>
      <c r="L449" s="209"/>
      <c r="M449" s="209"/>
      <c r="N449" s="209"/>
      <c r="O449" s="209"/>
      <c r="P449" s="209"/>
      <c r="Q449" s="209"/>
      <c r="R449" s="209"/>
      <c r="S449" s="209"/>
      <c r="T449" s="209"/>
      <c r="U449" s="209"/>
      <c r="V449" s="209"/>
      <c r="W449" s="209"/>
      <c r="X449" s="209"/>
    </row>
    <row r="450" spans="1:24" x14ac:dyDescent="0.25">
      <c r="A450" s="209"/>
      <c r="B450" s="209"/>
      <c r="C450" s="209"/>
      <c r="D450" s="209"/>
      <c r="E450" s="209"/>
      <c r="G450" s="209"/>
      <c r="H450" s="209"/>
      <c r="I450" s="209"/>
      <c r="J450" s="599"/>
      <c r="K450" s="209"/>
      <c r="L450" s="209"/>
      <c r="M450" s="209"/>
      <c r="N450" s="209"/>
      <c r="O450" s="209"/>
      <c r="P450" s="209"/>
      <c r="Q450" s="209"/>
      <c r="R450" s="209"/>
      <c r="S450" s="209"/>
      <c r="T450" s="209"/>
      <c r="U450" s="209"/>
      <c r="V450" s="209"/>
      <c r="W450" s="209"/>
      <c r="X450" s="209"/>
    </row>
    <row r="451" spans="1:24" x14ac:dyDescent="0.25">
      <c r="A451" s="209"/>
      <c r="B451" s="209"/>
      <c r="C451" s="209"/>
      <c r="D451" s="209"/>
      <c r="E451" s="209"/>
      <c r="G451" s="209"/>
      <c r="H451" s="209"/>
      <c r="I451" s="209"/>
      <c r="J451" s="599"/>
      <c r="K451" s="209"/>
      <c r="L451" s="209"/>
      <c r="M451" s="209"/>
      <c r="N451" s="209"/>
      <c r="O451" s="209"/>
      <c r="P451" s="209"/>
      <c r="Q451" s="209"/>
      <c r="R451" s="209"/>
      <c r="S451" s="209"/>
      <c r="T451" s="209"/>
      <c r="U451" s="209"/>
      <c r="V451" s="209"/>
      <c r="W451" s="209"/>
      <c r="X451" s="209"/>
    </row>
    <row r="452" spans="1:24" x14ac:dyDescent="0.25">
      <c r="A452" s="209"/>
      <c r="B452" s="209"/>
      <c r="C452" s="209"/>
      <c r="D452" s="209"/>
      <c r="E452" s="209"/>
      <c r="G452" s="209"/>
      <c r="H452" s="209"/>
      <c r="I452" s="209"/>
      <c r="J452" s="599"/>
      <c r="K452" s="209"/>
      <c r="L452" s="209"/>
      <c r="M452" s="209"/>
      <c r="N452" s="209"/>
      <c r="O452" s="209"/>
      <c r="P452" s="209"/>
      <c r="Q452" s="209"/>
      <c r="R452" s="209"/>
      <c r="S452" s="209"/>
      <c r="T452" s="209"/>
      <c r="U452" s="209"/>
      <c r="V452" s="209"/>
      <c r="W452" s="209"/>
      <c r="X452" s="209"/>
    </row>
    <row r="453" spans="1:24" x14ac:dyDescent="0.25">
      <c r="A453" s="209"/>
      <c r="B453" s="209"/>
      <c r="C453" s="209"/>
      <c r="D453" s="209"/>
      <c r="E453" s="209"/>
      <c r="G453" s="209"/>
      <c r="H453" s="209"/>
      <c r="I453" s="209"/>
      <c r="J453" s="599"/>
      <c r="K453" s="209"/>
      <c r="L453" s="209"/>
      <c r="M453" s="209"/>
      <c r="N453" s="209"/>
      <c r="O453" s="209"/>
      <c r="P453" s="209"/>
      <c r="Q453" s="209"/>
      <c r="R453" s="209"/>
      <c r="S453" s="209"/>
      <c r="T453" s="209"/>
      <c r="U453" s="209"/>
      <c r="V453" s="209"/>
      <c r="W453" s="209"/>
      <c r="X453" s="209"/>
    </row>
    <row r="454" spans="1:24" x14ac:dyDescent="0.25">
      <c r="A454" s="209"/>
      <c r="B454" s="209"/>
      <c r="C454" s="209"/>
      <c r="D454" s="209"/>
      <c r="E454" s="209"/>
      <c r="G454" s="209"/>
      <c r="H454" s="209"/>
      <c r="I454" s="209"/>
      <c r="J454" s="599"/>
      <c r="K454" s="209"/>
      <c r="L454" s="209"/>
      <c r="M454" s="209"/>
      <c r="N454" s="209"/>
      <c r="O454" s="209"/>
      <c r="P454" s="209"/>
      <c r="Q454" s="209"/>
      <c r="R454" s="209"/>
      <c r="S454" s="209"/>
      <c r="T454" s="209"/>
      <c r="U454" s="209"/>
      <c r="V454" s="209"/>
      <c r="W454" s="209"/>
      <c r="X454" s="209"/>
    </row>
    <row r="455" spans="1:24" x14ac:dyDescent="0.25">
      <c r="A455" s="209"/>
      <c r="B455" s="209"/>
      <c r="C455" s="209"/>
      <c r="D455" s="209"/>
      <c r="E455" s="209"/>
      <c r="G455" s="209"/>
      <c r="H455" s="209"/>
      <c r="I455" s="209"/>
      <c r="J455" s="599"/>
      <c r="K455" s="209"/>
      <c r="L455" s="209"/>
      <c r="M455" s="209"/>
      <c r="N455" s="209"/>
      <c r="O455" s="209"/>
      <c r="P455" s="209"/>
      <c r="Q455" s="209"/>
      <c r="R455" s="209"/>
      <c r="S455" s="209"/>
      <c r="T455" s="209"/>
      <c r="U455" s="209"/>
      <c r="V455" s="209"/>
      <c r="W455" s="209"/>
      <c r="X455" s="209"/>
    </row>
    <row r="456" spans="1:24" x14ac:dyDescent="0.25">
      <c r="A456" s="209"/>
      <c r="B456" s="209"/>
      <c r="C456" s="209"/>
      <c r="D456" s="209"/>
      <c r="E456" s="209"/>
      <c r="G456" s="209"/>
      <c r="H456" s="209"/>
      <c r="I456" s="209"/>
      <c r="J456" s="599"/>
      <c r="K456" s="209"/>
      <c r="L456" s="209"/>
      <c r="M456" s="209"/>
      <c r="N456" s="209"/>
      <c r="O456" s="209"/>
      <c r="P456" s="209"/>
      <c r="Q456" s="209"/>
      <c r="R456" s="209"/>
      <c r="S456" s="209"/>
      <c r="T456" s="209"/>
      <c r="U456" s="209"/>
      <c r="V456" s="209"/>
      <c r="W456" s="209"/>
      <c r="X456" s="209"/>
    </row>
    <row r="457" spans="1:24" x14ac:dyDescent="0.25">
      <c r="A457" s="209"/>
      <c r="B457" s="209"/>
      <c r="C457" s="209"/>
      <c r="D457" s="209"/>
      <c r="E457" s="209"/>
      <c r="G457" s="209"/>
      <c r="H457" s="209"/>
      <c r="I457" s="209"/>
      <c r="J457" s="599"/>
      <c r="K457" s="209"/>
      <c r="L457" s="209"/>
      <c r="M457" s="209"/>
      <c r="N457" s="209"/>
      <c r="O457" s="209"/>
      <c r="P457" s="209"/>
      <c r="Q457" s="209"/>
      <c r="R457" s="209"/>
      <c r="S457" s="209"/>
      <c r="T457" s="209"/>
      <c r="U457" s="209"/>
      <c r="V457" s="209"/>
      <c r="W457" s="209"/>
      <c r="X457" s="209"/>
    </row>
    <row r="458" spans="1:24" x14ac:dyDescent="0.25">
      <c r="A458" s="209"/>
      <c r="B458" s="209"/>
      <c r="C458" s="209"/>
      <c r="D458" s="209"/>
      <c r="E458" s="209"/>
      <c r="G458" s="209"/>
      <c r="H458" s="209"/>
      <c r="I458" s="209"/>
      <c r="J458" s="599"/>
      <c r="K458" s="209"/>
      <c r="L458" s="209"/>
      <c r="M458" s="209"/>
      <c r="N458" s="209"/>
      <c r="O458" s="209"/>
      <c r="P458" s="209"/>
      <c r="Q458" s="209"/>
      <c r="R458" s="209"/>
      <c r="S458" s="209"/>
      <c r="T458" s="209"/>
      <c r="U458" s="209"/>
      <c r="V458" s="209"/>
      <c r="W458" s="209"/>
      <c r="X458" s="209"/>
    </row>
    <row r="459" spans="1:24" x14ac:dyDescent="0.25">
      <c r="A459" s="209"/>
      <c r="B459" s="209"/>
      <c r="C459" s="209"/>
      <c r="D459" s="209"/>
      <c r="E459" s="209"/>
      <c r="G459" s="209"/>
      <c r="H459" s="209"/>
      <c r="I459" s="209"/>
      <c r="J459" s="599"/>
      <c r="K459" s="209"/>
      <c r="L459" s="209"/>
      <c r="M459" s="209"/>
      <c r="N459" s="209"/>
      <c r="O459" s="209"/>
      <c r="P459" s="209"/>
      <c r="Q459" s="209"/>
      <c r="R459" s="209"/>
      <c r="S459" s="209"/>
      <c r="T459" s="209"/>
      <c r="U459" s="209"/>
      <c r="V459" s="209"/>
      <c r="W459" s="209"/>
      <c r="X459" s="209"/>
    </row>
    <row r="460" spans="1:24" x14ac:dyDescent="0.25">
      <c r="A460" s="209"/>
      <c r="B460" s="209"/>
      <c r="C460" s="209"/>
      <c r="D460" s="209"/>
      <c r="E460" s="209"/>
      <c r="G460" s="209"/>
      <c r="H460" s="209"/>
      <c r="I460" s="209"/>
      <c r="J460" s="599"/>
      <c r="K460" s="209"/>
      <c r="L460" s="209"/>
      <c r="M460" s="209"/>
      <c r="N460" s="209"/>
      <c r="O460" s="209"/>
      <c r="P460" s="209"/>
      <c r="Q460" s="209"/>
      <c r="R460" s="209"/>
      <c r="S460" s="209"/>
      <c r="T460" s="209"/>
      <c r="U460" s="209"/>
      <c r="V460" s="209"/>
      <c r="W460" s="209"/>
      <c r="X460" s="209"/>
    </row>
    <row r="461" spans="1:24" x14ac:dyDescent="0.25">
      <c r="A461" s="209"/>
      <c r="B461" s="209"/>
      <c r="C461" s="209"/>
      <c r="D461" s="209"/>
      <c r="E461" s="209"/>
      <c r="G461" s="209"/>
      <c r="H461" s="209"/>
      <c r="I461" s="209"/>
      <c r="J461" s="599"/>
      <c r="K461" s="209"/>
      <c r="L461" s="209"/>
      <c r="M461" s="209"/>
      <c r="N461" s="209"/>
      <c r="O461" s="209"/>
      <c r="P461" s="209"/>
      <c r="Q461" s="209"/>
      <c r="R461" s="209"/>
      <c r="S461" s="209"/>
      <c r="T461" s="209"/>
      <c r="U461" s="209"/>
      <c r="V461" s="209"/>
      <c r="W461" s="209"/>
      <c r="X461" s="209"/>
    </row>
    <row r="462" spans="1:24" x14ac:dyDescent="0.25">
      <c r="A462" s="209"/>
      <c r="B462" s="209"/>
      <c r="C462" s="209"/>
      <c r="D462" s="209"/>
      <c r="E462" s="209"/>
      <c r="G462" s="209"/>
      <c r="H462" s="209"/>
      <c r="I462" s="209"/>
      <c r="J462" s="599"/>
      <c r="K462" s="209"/>
      <c r="L462" s="209"/>
      <c r="M462" s="209"/>
      <c r="N462" s="209"/>
      <c r="O462" s="209"/>
      <c r="P462" s="209"/>
      <c r="Q462" s="209"/>
      <c r="R462" s="209"/>
      <c r="S462" s="209"/>
      <c r="T462" s="209"/>
      <c r="U462" s="209"/>
      <c r="V462" s="209"/>
      <c r="W462" s="209"/>
      <c r="X462" s="209"/>
    </row>
    <row r="463" spans="1:24" x14ac:dyDescent="0.25">
      <c r="A463" s="209"/>
      <c r="B463" s="209"/>
      <c r="C463" s="209"/>
      <c r="D463" s="209"/>
      <c r="E463" s="209"/>
      <c r="G463" s="209"/>
      <c r="H463" s="209"/>
      <c r="I463" s="209"/>
      <c r="J463" s="599"/>
      <c r="K463" s="209"/>
      <c r="L463" s="209"/>
      <c r="M463" s="209"/>
      <c r="N463" s="209"/>
      <c r="O463" s="209"/>
      <c r="P463" s="209"/>
      <c r="Q463" s="209"/>
      <c r="R463" s="209"/>
      <c r="S463" s="209"/>
      <c r="T463" s="209"/>
      <c r="U463" s="209"/>
      <c r="V463" s="209"/>
      <c r="W463" s="209"/>
      <c r="X463" s="209"/>
    </row>
    <row r="464" spans="1:24" x14ac:dyDescent="0.25">
      <c r="A464" s="209"/>
      <c r="B464" s="209"/>
      <c r="C464" s="209"/>
      <c r="D464" s="209"/>
      <c r="E464" s="209"/>
      <c r="G464" s="209"/>
      <c r="H464" s="209"/>
      <c r="I464" s="209"/>
      <c r="J464" s="599"/>
      <c r="K464" s="209"/>
      <c r="L464" s="209"/>
      <c r="M464" s="209"/>
      <c r="N464" s="209"/>
      <c r="O464" s="209"/>
      <c r="P464" s="209"/>
      <c r="Q464" s="209"/>
      <c r="R464" s="209"/>
      <c r="S464" s="209"/>
      <c r="T464" s="209"/>
      <c r="U464" s="209"/>
      <c r="V464" s="209"/>
      <c r="W464" s="209"/>
      <c r="X464" s="209"/>
    </row>
    <row r="465" spans="1:24" x14ac:dyDescent="0.25">
      <c r="A465" s="209"/>
      <c r="B465" s="209"/>
      <c r="C465" s="209"/>
      <c r="D465" s="209"/>
      <c r="E465" s="209"/>
      <c r="G465" s="209"/>
      <c r="H465" s="209"/>
      <c r="I465" s="209"/>
      <c r="J465" s="599"/>
      <c r="K465" s="209"/>
      <c r="L465" s="209"/>
      <c r="M465" s="209"/>
      <c r="N465" s="209"/>
      <c r="O465" s="209"/>
      <c r="P465" s="209"/>
      <c r="Q465" s="209"/>
      <c r="R465" s="209"/>
      <c r="S465" s="209"/>
      <c r="T465" s="209"/>
      <c r="U465" s="209"/>
      <c r="V465" s="209"/>
      <c r="W465" s="209"/>
      <c r="X465" s="209"/>
    </row>
    <row r="466" spans="1:24" x14ac:dyDescent="0.25">
      <c r="A466" s="209"/>
      <c r="B466" s="209"/>
      <c r="C466" s="209"/>
      <c r="D466" s="209"/>
      <c r="E466" s="209"/>
      <c r="G466" s="209"/>
      <c r="H466" s="209"/>
      <c r="I466" s="209"/>
      <c r="J466" s="599"/>
      <c r="K466" s="209"/>
      <c r="L466" s="209"/>
      <c r="M466" s="209"/>
      <c r="N466" s="209"/>
      <c r="O466" s="209"/>
      <c r="P466" s="209"/>
      <c r="Q466" s="209"/>
      <c r="R466" s="209"/>
      <c r="S466" s="209"/>
      <c r="T466" s="209"/>
      <c r="U466" s="209"/>
      <c r="V466" s="209"/>
      <c r="W466" s="209"/>
      <c r="X466" s="209"/>
    </row>
    <row r="467" spans="1:24" x14ac:dyDescent="0.25">
      <c r="A467" s="209"/>
      <c r="B467" s="209"/>
      <c r="C467" s="209"/>
      <c r="D467" s="209"/>
      <c r="E467" s="209"/>
      <c r="G467" s="209"/>
      <c r="H467" s="209"/>
      <c r="I467" s="209"/>
      <c r="J467" s="599"/>
      <c r="K467" s="209"/>
      <c r="L467" s="209"/>
      <c r="M467" s="209"/>
      <c r="N467" s="209"/>
      <c r="O467" s="209"/>
      <c r="P467" s="209"/>
      <c r="Q467" s="209"/>
      <c r="R467" s="209"/>
      <c r="S467" s="209"/>
      <c r="T467" s="209"/>
      <c r="U467" s="209"/>
      <c r="V467" s="209"/>
      <c r="W467" s="209"/>
      <c r="X467" s="209"/>
    </row>
    <row r="468" spans="1:24" x14ac:dyDescent="0.25">
      <c r="A468" s="209"/>
      <c r="B468" s="209"/>
      <c r="C468" s="209"/>
      <c r="D468" s="209"/>
      <c r="E468" s="209"/>
      <c r="G468" s="209"/>
      <c r="H468" s="209"/>
      <c r="I468" s="209"/>
      <c r="J468" s="599"/>
      <c r="K468" s="209"/>
      <c r="L468" s="209"/>
      <c r="M468" s="209"/>
      <c r="N468" s="209"/>
      <c r="O468" s="209"/>
      <c r="P468" s="209"/>
      <c r="Q468" s="209"/>
      <c r="R468" s="209"/>
      <c r="S468" s="209"/>
      <c r="T468" s="209"/>
      <c r="U468" s="209"/>
      <c r="V468" s="209"/>
      <c r="W468" s="209"/>
      <c r="X468" s="209"/>
    </row>
    <row r="469" spans="1:24" x14ac:dyDescent="0.25">
      <c r="A469" s="209"/>
      <c r="B469" s="209"/>
      <c r="C469" s="209"/>
      <c r="D469" s="209"/>
      <c r="E469" s="209"/>
      <c r="G469" s="209"/>
      <c r="H469" s="209"/>
      <c r="I469" s="209"/>
      <c r="J469" s="599"/>
      <c r="K469" s="209"/>
      <c r="L469" s="209"/>
      <c r="M469" s="209"/>
      <c r="N469" s="209"/>
      <c r="O469" s="209"/>
      <c r="P469" s="209"/>
      <c r="Q469" s="209"/>
      <c r="R469" s="209"/>
      <c r="S469" s="209"/>
      <c r="T469" s="209"/>
      <c r="U469" s="209"/>
      <c r="V469" s="209"/>
      <c r="W469" s="209"/>
      <c r="X469" s="209"/>
    </row>
    <row r="470" spans="1:24" x14ac:dyDescent="0.25">
      <c r="A470" s="209"/>
      <c r="B470" s="209"/>
      <c r="C470" s="209"/>
      <c r="D470" s="209"/>
      <c r="E470" s="209"/>
      <c r="G470" s="209"/>
      <c r="H470" s="209"/>
      <c r="I470" s="209"/>
      <c r="J470" s="599"/>
      <c r="K470" s="209"/>
      <c r="L470" s="209"/>
      <c r="M470" s="209"/>
      <c r="N470" s="209"/>
      <c r="O470" s="209"/>
      <c r="P470" s="209"/>
      <c r="Q470" s="209"/>
      <c r="R470" s="209"/>
      <c r="S470" s="209"/>
      <c r="T470" s="209"/>
      <c r="U470" s="209"/>
      <c r="V470" s="209"/>
      <c r="W470" s="209"/>
      <c r="X470" s="209"/>
    </row>
    <row r="471" spans="1:24" x14ac:dyDescent="0.25">
      <c r="A471" s="209"/>
      <c r="B471" s="209"/>
      <c r="C471" s="209"/>
      <c r="D471" s="209"/>
      <c r="E471" s="209"/>
      <c r="G471" s="209"/>
      <c r="H471" s="209"/>
      <c r="I471" s="209"/>
      <c r="J471" s="599"/>
      <c r="K471" s="209"/>
      <c r="L471" s="209"/>
      <c r="M471" s="209"/>
      <c r="N471" s="209"/>
      <c r="O471" s="209"/>
      <c r="P471" s="209"/>
      <c r="Q471" s="209"/>
      <c r="R471" s="209"/>
      <c r="S471" s="209"/>
      <c r="T471" s="209"/>
      <c r="U471" s="209"/>
      <c r="V471" s="209"/>
      <c r="W471" s="209"/>
      <c r="X471" s="209"/>
    </row>
    <row r="472" spans="1:24" x14ac:dyDescent="0.25">
      <c r="A472" s="209"/>
      <c r="B472" s="209"/>
      <c r="C472" s="209"/>
      <c r="D472" s="209"/>
      <c r="E472" s="209"/>
      <c r="G472" s="209"/>
      <c r="H472" s="209"/>
      <c r="I472" s="209"/>
      <c r="J472" s="599"/>
      <c r="K472" s="209"/>
      <c r="L472" s="209"/>
      <c r="M472" s="209"/>
      <c r="N472" s="209"/>
      <c r="O472" s="209"/>
      <c r="P472" s="209"/>
      <c r="Q472" s="209"/>
      <c r="R472" s="209"/>
      <c r="S472" s="209"/>
      <c r="T472" s="209"/>
      <c r="U472" s="209"/>
      <c r="V472" s="209"/>
      <c r="W472" s="209"/>
      <c r="X472" s="209"/>
    </row>
    <row r="473" spans="1:24" x14ac:dyDescent="0.25">
      <c r="A473" s="209"/>
      <c r="B473" s="209"/>
      <c r="C473" s="209"/>
      <c r="D473" s="209"/>
      <c r="E473" s="209"/>
      <c r="G473" s="209"/>
      <c r="H473" s="209"/>
      <c r="I473" s="209"/>
      <c r="J473" s="599"/>
      <c r="K473" s="209"/>
      <c r="L473" s="209"/>
      <c r="M473" s="209"/>
      <c r="N473" s="209"/>
      <c r="O473" s="209"/>
      <c r="P473" s="209"/>
      <c r="Q473" s="209"/>
      <c r="R473" s="209"/>
      <c r="S473" s="209"/>
      <c r="T473" s="209"/>
      <c r="U473" s="209"/>
      <c r="V473" s="209"/>
      <c r="W473" s="209"/>
      <c r="X473" s="209"/>
    </row>
    <row r="474" spans="1:24" x14ac:dyDescent="0.25">
      <c r="A474" s="209"/>
      <c r="B474" s="209"/>
      <c r="C474" s="209"/>
      <c r="D474" s="209"/>
      <c r="E474" s="209"/>
      <c r="G474" s="209"/>
      <c r="H474" s="209"/>
      <c r="I474" s="209"/>
      <c r="J474" s="599"/>
      <c r="K474" s="209"/>
      <c r="L474" s="209"/>
      <c r="M474" s="209"/>
      <c r="N474" s="209"/>
      <c r="O474" s="209"/>
      <c r="P474" s="209"/>
      <c r="Q474" s="209"/>
      <c r="R474" s="209"/>
      <c r="S474" s="209"/>
      <c r="T474" s="209"/>
      <c r="U474" s="209"/>
      <c r="V474" s="209"/>
      <c r="W474" s="209"/>
      <c r="X474" s="209"/>
    </row>
    <row r="475" spans="1:24" x14ac:dyDescent="0.25">
      <c r="A475" s="209"/>
      <c r="B475" s="209"/>
      <c r="C475" s="209"/>
      <c r="D475" s="209"/>
      <c r="E475" s="209"/>
      <c r="G475" s="209"/>
      <c r="H475" s="209"/>
      <c r="I475" s="209"/>
      <c r="J475" s="599"/>
      <c r="K475" s="209"/>
      <c r="L475" s="209"/>
      <c r="M475" s="209"/>
      <c r="N475" s="209"/>
      <c r="O475" s="209"/>
      <c r="P475" s="209"/>
      <c r="Q475" s="209"/>
      <c r="R475" s="209"/>
      <c r="S475" s="209"/>
      <c r="T475" s="209"/>
      <c r="U475" s="209"/>
      <c r="V475" s="209"/>
      <c r="W475" s="209"/>
      <c r="X475" s="209"/>
    </row>
    <row r="476" spans="1:24" x14ac:dyDescent="0.25">
      <c r="A476" s="209"/>
      <c r="B476" s="209"/>
      <c r="C476" s="209"/>
      <c r="D476" s="209"/>
      <c r="E476" s="209"/>
      <c r="G476" s="209"/>
      <c r="H476" s="209"/>
      <c r="I476" s="209"/>
      <c r="J476" s="599"/>
      <c r="K476" s="209"/>
      <c r="L476" s="209"/>
      <c r="M476" s="209"/>
      <c r="N476" s="209"/>
      <c r="O476" s="209"/>
      <c r="P476" s="209"/>
      <c r="Q476" s="209"/>
      <c r="R476" s="209"/>
      <c r="S476" s="209"/>
      <c r="T476" s="209"/>
      <c r="U476" s="209"/>
      <c r="V476" s="209"/>
      <c r="W476" s="209"/>
      <c r="X476" s="209"/>
    </row>
    <row r="477" spans="1:24" x14ac:dyDescent="0.25">
      <c r="A477" s="209"/>
      <c r="B477" s="209"/>
      <c r="C477" s="209"/>
      <c r="D477" s="209"/>
      <c r="E477" s="209"/>
      <c r="G477" s="209"/>
      <c r="H477" s="209"/>
      <c r="I477" s="209"/>
      <c r="J477" s="599"/>
      <c r="K477" s="209"/>
      <c r="L477" s="209"/>
      <c r="M477" s="209"/>
      <c r="N477" s="209"/>
      <c r="O477" s="209"/>
      <c r="P477" s="209"/>
      <c r="Q477" s="209"/>
      <c r="R477" s="209"/>
      <c r="S477" s="209"/>
      <c r="T477" s="209"/>
      <c r="U477" s="209"/>
      <c r="V477" s="209"/>
      <c r="W477" s="209"/>
      <c r="X477" s="209"/>
    </row>
    <row r="478" spans="1:24" x14ac:dyDescent="0.25">
      <c r="A478" s="209"/>
      <c r="B478" s="209"/>
      <c r="C478" s="209"/>
      <c r="D478" s="209"/>
      <c r="E478" s="209"/>
      <c r="G478" s="209"/>
      <c r="H478" s="209"/>
      <c r="I478" s="209"/>
      <c r="J478" s="599"/>
      <c r="K478" s="209"/>
      <c r="L478" s="209"/>
      <c r="M478" s="209"/>
      <c r="N478" s="209"/>
      <c r="O478" s="209"/>
      <c r="P478" s="209"/>
      <c r="Q478" s="209"/>
      <c r="R478" s="209"/>
      <c r="S478" s="209"/>
      <c r="T478" s="209"/>
      <c r="U478" s="209"/>
      <c r="V478" s="209"/>
      <c r="W478" s="209"/>
      <c r="X478" s="209"/>
    </row>
    <row r="479" spans="1:24" x14ac:dyDescent="0.25">
      <c r="A479" s="209"/>
      <c r="B479" s="209"/>
      <c r="C479" s="209"/>
      <c r="D479" s="209"/>
      <c r="E479" s="209"/>
      <c r="G479" s="209"/>
      <c r="H479" s="209"/>
      <c r="I479" s="209"/>
      <c r="J479" s="599"/>
      <c r="K479" s="209"/>
      <c r="L479" s="209"/>
      <c r="M479" s="209"/>
      <c r="N479" s="209"/>
      <c r="O479" s="209"/>
      <c r="P479" s="209"/>
      <c r="Q479" s="209"/>
      <c r="R479" s="209"/>
      <c r="S479" s="209"/>
      <c r="T479" s="209"/>
      <c r="U479" s="209"/>
      <c r="V479" s="209"/>
      <c r="W479" s="209"/>
      <c r="X479" s="209"/>
    </row>
    <row r="480" spans="1:24" x14ac:dyDescent="0.25">
      <c r="A480" s="209"/>
      <c r="B480" s="209"/>
      <c r="C480" s="209"/>
      <c r="D480" s="209"/>
      <c r="E480" s="209"/>
      <c r="G480" s="209"/>
      <c r="H480" s="209"/>
      <c r="I480" s="209"/>
      <c r="J480" s="599"/>
      <c r="K480" s="209"/>
      <c r="L480" s="209"/>
      <c r="M480" s="209"/>
      <c r="N480" s="209"/>
      <c r="O480" s="209"/>
      <c r="P480" s="209"/>
      <c r="Q480" s="209"/>
      <c r="R480" s="209"/>
      <c r="S480" s="209"/>
      <c r="T480" s="209"/>
      <c r="U480" s="209"/>
      <c r="V480" s="209"/>
      <c r="W480" s="209"/>
      <c r="X480" s="209"/>
    </row>
    <row r="481" spans="1:24" x14ac:dyDescent="0.25">
      <c r="A481" s="209"/>
      <c r="B481" s="209"/>
      <c r="C481" s="209"/>
      <c r="D481" s="209"/>
      <c r="E481" s="209"/>
      <c r="G481" s="209"/>
      <c r="H481" s="209"/>
      <c r="I481" s="209"/>
      <c r="J481" s="599"/>
      <c r="K481" s="209"/>
      <c r="L481" s="209"/>
      <c r="M481" s="209"/>
      <c r="N481" s="209"/>
      <c r="O481" s="209"/>
      <c r="P481" s="209"/>
      <c r="Q481" s="209"/>
      <c r="R481" s="209"/>
      <c r="S481" s="209"/>
      <c r="T481" s="209"/>
      <c r="U481" s="209"/>
      <c r="V481" s="209"/>
      <c r="W481" s="209"/>
      <c r="X481" s="209"/>
    </row>
    <row r="482" spans="1:24" x14ac:dyDescent="0.25">
      <c r="A482" s="209"/>
      <c r="B482" s="209"/>
      <c r="C482" s="209"/>
      <c r="D482" s="209"/>
      <c r="E482" s="209"/>
      <c r="G482" s="209"/>
      <c r="H482" s="209"/>
      <c r="I482" s="209"/>
      <c r="J482" s="599"/>
      <c r="K482" s="209"/>
      <c r="L482" s="209"/>
      <c r="M482" s="209"/>
      <c r="N482" s="209"/>
      <c r="O482" s="209"/>
      <c r="P482" s="209"/>
      <c r="Q482" s="209"/>
      <c r="R482" s="209"/>
      <c r="S482" s="209"/>
      <c r="T482" s="209"/>
      <c r="U482" s="209"/>
      <c r="V482" s="209"/>
      <c r="W482" s="209"/>
      <c r="X482" s="209"/>
    </row>
    <row r="483" spans="1:24" x14ac:dyDescent="0.25">
      <c r="A483" s="209"/>
      <c r="B483" s="209"/>
      <c r="C483" s="209"/>
      <c r="D483" s="209"/>
      <c r="E483" s="209"/>
      <c r="G483" s="209"/>
      <c r="H483" s="209"/>
      <c r="I483" s="209"/>
      <c r="J483" s="599"/>
      <c r="K483" s="209"/>
      <c r="L483" s="209"/>
      <c r="M483" s="209"/>
      <c r="N483" s="209"/>
      <c r="O483" s="209"/>
      <c r="P483" s="209"/>
      <c r="Q483" s="209"/>
      <c r="R483" s="209"/>
      <c r="S483" s="209"/>
      <c r="T483" s="209"/>
      <c r="U483" s="209"/>
      <c r="V483" s="209"/>
      <c r="W483" s="209"/>
      <c r="X483" s="209"/>
    </row>
    <row r="484" spans="1:24" x14ac:dyDescent="0.25">
      <c r="A484" s="209"/>
      <c r="B484" s="209"/>
      <c r="C484" s="209"/>
      <c r="D484" s="209"/>
      <c r="E484" s="209"/>
      <c r="G484" s="209"/>
      <c r="H484" s="209"/>
      <c r="I484" s="209"/>
      <c r="J484" s="599"/>
      <c r="K484" s="209"/>
      <c r="L484" s="209"/>
      <c r="M484" s="209"/>
      <c r="N484" s="209"/>
      <c r="O484" s="209"/>
      <c r="P484" s="209"/>
      <c r="Q484" s="209"/>
      <c r="R484" s="209"/>
      <c r="S484" s="209"/>
      <c r="T484" s="209"/>
      <c r="U484" s="209"/>
      <c r="V484" s="209"/>
      <c r="W484" s="209"/>
      <c r="X484" s="209"/>
    </row>
    <row r="485" spans="1:24" x14ac:dyDescent="0.25">
      <c r="A485" s="209"/>
      <c r="B485" s="209"/>
      <c r="C485" s="209"/>
      <c r="D485" s="209"/>
      <c r="E485" s="209"/>
      <c r="G485" s="209"/>
      <c r="H485" s="209"/>
      <c r="I485" s="209"/>
      <c r="J485" s="599"/>
      <c r="K485" s="209"/>
      <c r="L485" s="209"/>
      <c r="M485" s="209"/>
      <c r="N485" s="209"/>
      <c r="O485" s="209"/>
      <c r="P485" s="209"/>
      <c r="Q485" s="209"/>
      <c r="R485" s="209"/>
      <c r="S485" s="209"/>
      <c r="T485" s="209"/>
      <c r="U485" s="209"/>
      <c r="V485" s="209"/>
      <c r="W485" s="209"/>
      <c r="X485" s="209"/>
    </row>
    <row r="486" spans="1:24" x14ac:dyDescent="0.25">
      <c r="A486" s="209"/>
      <c r="B486" s="209"/>
      <c r="C486" s="209"/>
      <c r="D486" s="209"/>
      <c r="E486" s="209"/>
      <c r="G486" s="209"/>
      <c r="H486" s="209"/>
      <c r="I486" s="209"/>
      <c r="J486" s="599"/>
      <c r="K486" s="209"/>
      <c r="L486" s="209"/>
      <c r="M486" s="209"/>
      <c r="N486" s="209"/>
      <c r="O486" s="209"/>
      <c r="P486" s="209"/>
      <c r="Q486" s="209"/>
      <c r="R486" s="209"/>
      <c r="S486" s="209"/>
      <c r="T486" s="209"/>
      <c r="U486" s="209"/>
      <c r="V486" s="209"/>
      <c r="W486" s="209"/>
      <c r="X486" s="209"/>
    </row>
    <row r="487" spans="1:24" x14ac:dyDescent="0.25">
      <c r="A487" s="209"/>
      <c r="B487" s="209"/>
      <c r="C487" s="209"/>
      <c r="D487" s="209"/>
      <c r="E487" s="209"/>
      <c r="G487" s="209"/>
      <c r="H487" s="209"/>
      <c r="I487" s="209"/>
      <c r="J487" s="599"/>
      <c r="K487" s="209"/>
      <c r="L487" s="209"/>
      <c r="M487" s="209"/>
      <c r="N487" s="209"/>
      <c r="O487" s="209"/>
      <c r="P487" s="209"/>
      <c r="Q487" s="209"/>
      <c r="R487" s="209"/>
      <c r="S487" s="209"/>
      <c r="T487" s="209"/>
      <c r="U487" s="209"/>
      <c r="V487" s="209"/>
      <c r="W487" s="209"/>
      <c r="X487" s="209"/>
    </row>
    <row r="488" spans="1:24" x14ac:dyDescent="0.25">
      <c r="A488" s="209"/>
      <c r="B488" s="209"/>
      <c r="C488" s="209"/>
      <c r="D488" s="209"/>
      <c r="E488" s="209"/>
      <c r="G488" s="209"/>
      <c r="H488" s="209"/>
      <c r="I488" s="209"/>
      <c r="J488" s="599"/>
      <c r="K488" s="209"/>
      <c r="L488" s="209"/>
      <c r="M488" s="209"/>
      <c r="N488" s="209"/>
      <c r="O488" s="209"/>
      <c r="P488" s="209"/>
      <c r="Q488" s="209"/>
      <c r="R488" s="209"/>
      <c r="S488" s="209"/>
      <c r="T488" s="209"/>
      <c r="U488" s="209"/>
      <c r="V488" s="209"/>
      <c r="W488" s="209"/>
      <c r="X488" s="209"/>
    </row>
    <row r="489" spans="1:24" x14ac:dyDescent="0.25">
      <c r="A489" s="209"/>
      <c r="B489" s="209"/>
      <c r="C489" s="209"/>
      <c r="D489" s="209"/>
      <c r="E489" s="209"/>
      <c r="G489" s="209"/>
      <c r="H489" s="209"/>
      <c r="I489" s="209"/>
      <c r="J489" s="599"/>
      <c r="K489" s="209"/>
      <c r="L489" s="209"/>
      <c r="M489" s="209"/>
      <c r="N489" s="209"/>
      <c r="O489" s="209"/>
      <c r="P489" s="209"/>
      <c r="Q489" s="209"/>
      <c r="R489" s="209"/>
      <c r="S489" s="209"/>
      <c r="T489" s="209"/>
      <c r="U489" s="209"/>
      <c r="V489" s="209"/>
      <c r="W489" s="209"/>
      <c r="X489" s="209"/>
    </row>
    <row r="490" spans="1:24" x14ac:dyDescent="0.25">
      <c r="A490" s="209"/>
      <c r="B490" s="209"/>
      <c r="C490" s="209"/>
      <c r="D490" s="209"/>
      <c r="E490" s="209"/>
      <c r="G490" s="209"/>
      <c r="H490" s="209"/>
      <c r="I490" s="209"/>
      <c r="J490" s="599"/>
      <c r="K490" s="209"/>
      <c r="L490" s="209"/>
      <c r="M490" s="209"/>
      <c r="N490" s="209"/>
      <c r="O490" s="209"/>
      <c r="P490" s="209"/>
      <c r="Q490" s="209"/>
      <c r="R490" s="209"/>
      <c r="S490" s="209"/>
      <c r="T490" s="209"/>
      <c r="U490" s="209"/>
      <c r="V490" s="209"/>
      <c r="W490" s="209"/>
      <c r="X490" s="209"/>
    </row>
    <row r="491" spans="1:24" x14ac:dyDescent="0.25">
      <c r="A491" s="209"/>
      <c r="B491" s="209"/>
      <c r="C491" s="209"/>
      <c r="D491" s="209"/>
      <c r="E491" s="209"/>
      <c r="G491" s="209"/>
      <c r="H491" s="209"/>
      <c r="I491" s="209"/>
      <c r="J491" s="599"/>
      <c r="K491" s="209"/>
      <c r="L491" s="209"/>
      <c r="M491" s="209"/>
      <c r="N491" s="209"/>
      <c r="O491" s="209"/>
      <c r="P491" s="209"/>
      <c r="Q491" s="209"/>
      <c r="R491" s="209"/>
      <c r="S491" s="209"/>
      <c r="T491" s="209"/>
      <c r="U491" s="209"/>
      <c r="V491" s="209"/>
      <c r="W491" s="209"/>
      <c r="X491" s="209"/>
    </row>
    <row r="492" spans="1:24" x14ac:dyDescent="0.25">
      <c r="A492" s="209"/>
      <c r="B492" s="209"/>
      <c r="C492" s="209"/>
      <c r="D492" s="209"/>
      <c r="E492" s="209"/>
      <c r="G492" s="209"/>
      <c r="H492" s="209"/>
      <c r="I492" s="209"/>
      <c r="J492" s="599"/>
      <c r="K492" s="209"/>
      <c r="L492" s="209"/>
      <c r="M492" s="209"/>
      <c r="N492" s="209"/>
      <c r="O492" s="209"/>
      <c r="P492" s="209"/>
      <c r="Q492" s="209"/>
      <c r="R492" s="209"/>
      <c r="S492" s="209"/>
      <c r="T492" s="209"/>
      <c r="U492" s="209"/>
      <c r="V492" s="209"/>
      <c r="W492" s="209"/>
      <c r="X492" s="209"/>
    </row>
    <row r="493" spans="1:24" x14ac:dyDescent="0.25">
      <c r="A493" s="209"/>
      <c r="B493" s="209"/>
      <c r="C493" s="209"/>
      <c r="D493" s="209"/>
      <c r="E493" s="209"/>
      <c r="G493" s="209"/>
      <c r="H493" s="209"/>
      <c r="I493" s="209"/>
      <c r="J493" s="599"/>
      <c r="K493" s="209"/>
      <c r="L493" s="209"/>
      <c r="M493" s="209"/>
      <c r="N493" s="209"/>
      <c r="O493" s="209"/>
      <c r="P493" s="209"/>
      <c r="Q493" s="209"/>
      <c r="R493" s="209"/>
      <c r="S493" s="209"/>
      <c r="T493" s="209"/>
      <c r="U493" s="209"/>
      <c r="V493" s="209"/>
      <c r="W493" s="209"/>
      <c r="X493" s="209"/>
    </row>
    <row r="494" spans="1:24" x14ac:dyDescent="0.25">
      <c r="A494" s="209"/>
      <c r="B494" s="209"/>
      <c r="C494" s="209"/>
      <c r="D494" s="209"/>
      <c r="E494" s="209"/>
      <c r="G494" s="209"/>
      <c r="H494" s="209"/>
      <c r="I494" s="209"/>
      <c r="J494" s="599"/>
      <c r="K494" s="209"/>
      <c r="L494" s="209"/>
      <c r="M494" s="209"/>
      <c r="N494" s="209"/>
      <c r="O494" s="209"/>
      <c r="P494" s="209"/>
      <c r="Q494" s="209"/>
      <c r="R494" s="209"/>
      <c r="S494" s="209"/>
      <c r="T494" s="209"/>
      <c r="U494" s="209"/>
      <c r="V494" s="209"/>
      <c r="W494" s="209"/>
      <c r="X494" s="209"/>
    </row>
    <row r="495" spans="1:24" x14ac:dyDescent="0.25">
      <c r="A495" s="209"/>
      <c r="B495" s="209"/>
      <c r="C495" s="209"/>
      <c r="D495" s="209"/>
      <c r="E495" s="209"/>
      <c r="G495" s="209"/>
      <c r="H495" s="209"/>
      <c r="I495" s="209"/>
      <c r="J495" s="599"/>
      <c r="K495" s="209"/>
      <c r="L495" s="209"/>
      <c r="M495" s="209"/>
      <c r="N495" s="209"/>
      <c r="O495" s="209"/>
      <c r="P495" s="209"/>
      <c r="Q495" s="209"/>
      <c r="R495" s="209"/>
      <c r="S495" s="209"/>
      <c r="T495" s="209"/>
      <c r="U495" s="209"/>
      <c r="V495" s="209"/>
      <c r="W495" s="209"/>
      <c r="X495" s="209"/>
    </row>
    <row r="496" spans="1:24" x14ac:dyDescent="0.25">
      <c r="A496" s="209"/>
      <c r="B496" s="209"/>
      <c r="C496" s="209"/>
      <c r="D496" s="209"/>
      <c r="E496" s="209"/>
      <c r="G496" s="209"/>
      <c r="H496" s="209"/>
      <c r="I496" s="209"/>
      <c r="J496" s="599"/>
      <c r="K496" s="209"/>
      <c r="L496" s="209"/>
      <c r="M496" s="209"/>
      <c r="N496" s="209"/>
      <c r="O496" s="209"/>
      <c r="P496" s="209"/>
      <c r="Q496" s="209"/>
      <c r="R496" s="209"/>
      <c r="S496" s="209"/>
      <c r="T496" s="209"/>
      <c r="U496" s="209"/>
      <c r="V496" s="209"/>
      <c r="W496" s="209"/>
      <c r="X496" s="209"/>
    </row>
    <row r="497" spans="1:24" x14ac:dyDescent="0.25">
      <c r="A497" s="209"/>
      <c r="B497" s="209"/>
      <c r="C497" s="209"/>
      <c r="D497" s="209"/>
      <c r="E497" s="209"/>
      <c r="G497" s="209"/>
      <c r="H497" s="209"/>
      <c r="I497" s="209"/>
      <c r="J497" s="599"/>
      <c r="K497" s="209"/>
      <c r="L497" s="209"/>
      <c r="M497" s="209"/>
      <c r="N497" s="209"/>
      <c r="O497" s="209"/>
      <c r="P497" s="209"/>
      <c r="Q497" s="209"/>
      <c r="R497" s="209"/>
      <c r="S497" s="209"/>
      <c r="T497" s="209"/>
      <c r="U497" s="209"/>
      <c r="V497" s="209"/>
      <c r="W497" s="209"/>
      <c r="X497" s="209"/>
    </row>
    <row r="498" spans="1:24" x14ac:dyDescent="0.25">
      <c r="A498" s="209"/>
      <c r="B498" s="209"/>
      <c r="C498" s="209"/>
      <c r="D498" s="209"/>
      <c r="E498" s="209"/>
      <c r="G498" s="209"/>
      <c r="H498" s="209"/>
      <c r="I498" s="209"/>
      <c r="J498" s="599"/>
      <c r="K498" s="209"/>
      <c r="L498" s="209"/>
      <c r="M498" s="209"/>
      <c r="N498" s="209"/>
      <c r="O498" s="209"/>
      <c r="P498" s="209"/>
      <c r="Q498" s="209"/>
      <c r="R498" s="209"/>
      <c r="S498" s="209"/>
      <c r="T498" s="209"/>
      <c r="U498" s="209"/>
      <c r="V498" s="209"/>
      <c r="W498" s="209"/>
      <c r="X498" s="209"/>
    </row>
    <row r="499" spans="1:24" x14ac:dyDescent="0.25">
      <c r="A499" s="209"/>
      <c r="B499" s="209"/>
      <c r="C499" s="209"/>
      <c r="D499" s="209"/>
      <c r="E499" s="209"/>
      <c r="G499" s="209"/>
      <c r="H499" s="209"/>
      <c r="I499" s="209"/>
      <c r="J499" s="599"/>
      <c r="K499" s="209"/>
      <c r="L499" s="209"/>
      <c r="M499" s="209"/>
      <c r="N499" s="209"/>
      <c r="O499" s="209"/>
      <c r="P499" s="209"/>
      <c r="Q499" s="209"/>
      <c r="R499" s="209"/>
      <c r="S499" s="209"/>
      <c r="T499" s="209"/>
      <c r="U499" s="209"/>
      <c r="V499" s="209"/>
      <c r="W499" s="209"/>
      <c r="X499" s="209"/>
    </row>
    <row r="500" spans="1:24" x14ac:dyDescent="0.25">
      <c r="A500" s="209"/>
      <c r="B500" s="209"/>
      <c r="C500" s="209"/>
      <c r="D500" s="209"/>
      <c r="E500" s="209"/>
      <c r="G500" s="209"/>
      <c r="H500" s="209"/>
      <c r="I500" s="209"/>
      <c r="J500" s="599"/>
      <c r="K500" s="209"/>
      <c r="L500" s="209"/>
      <c r="M500" s="209"/>
      <c r="N500" s="209"/>
      <c r="O500" s="209"/>
      <c r="P500" s="209"/>
      <c r="Q500" s="209"/>
      <c r="R500" s="209"/>
      <c r="S500" s="209"/>
      <c r="T500" s="209"/>
      <c r="U500" s="209"/>
      <c r="V500" s="209"/>
      <c r="W500" s="209"/>
      <c r="X500" s="209"/>
    </row>
    <row r="501" spans="1:24" x14ac:dyDescent="0.25">
      <c r="A501" s="209"/>
      <c r="B501" s="209"/>
      <c r="C501" s="209"/>
      <c r="D501" s="209"/>
      <c r="E501" s="209"/>
      <c r="G501" s="209"/>
      <c r="H501" s="209"/>
      <c r="I501" s="209"/>
      <c r="J501" s="599"/>
      <c r="K501" s="209"/>
      <c r="L501" s="209"/>
      <c r="M501" s="209"/>
      <c r="N501" s="209"/>
      <c r="O501" s="209"/>
      <c r="P501" s="209"/>
      <c r="Q501" s="209"/>
      <c r="R501" s="209"/>
      <c r="S501" s="209"/>
      <c r="T501" s="209"/>
      <c r="U501" s="209"/>
      <c r="V501" s="209"/>
      <c r="W501" s="209"/>
      <c r="X501" s="209"/>
    </row>
    <row r="502" spans="1:24" x14ac:dyDescent="0.25">
      <c r="A502" s="209"/>
      <c r="B502" s="209"/>
      <c r="C502" s="209"/>
      <c r="D502" s="209"/>
      <c r="E502" s="209"/>
      <c r="G502" s="209"/>
      <c r="H502" s="209"/>
      <c r="I502" s="209"/>
      <c r="J502" s="599"/>
      <c r="K502" s="209"/>
      <c r="L502" s="209"/>
      <c r="M502" s="209"/>
      <c r="N502" s="209"/>
      <c r="O502" s="209"/>
      <c r="P502" s="209"/>
      <c r="Q502" s="209"/>
      <c r="R502" s="209"/>
      <c r="S502" s="209"/>
      <c r="T502" s="209"/>
      <c r="U502" s="209"/>
      <c r="V502" s="209"/>
      <c r="W502" s="209"/>
      <c r="X502" s="209"/>
    </row>
    <row r="503" spans="1:24" x14ac:dyDescent="0.25">
      <c r="A503" s="209"/>
      <c r="B503" s="209"/>
      <c r="C503" s="209"/>
      <c r="D503" s="209"/>
      <c r="E503" s="209"/>
      <c r="G503" s="209"/>
      <c r="H503" s="209"/>
      <c r="I503" s="209"/>
      <c r="J503" s="599"/>
      <c r="K503" s="209"/>
      <c r="L503" s="209"/>
      <c r="M503" s="209"/>
      <c r="N503" s="209"/>
      <c r="O503" s="209"/>
      <c r="P503" s="209"/>
      <c r="Q503" s="209"/>
      <c r="R503" s="209"/>
      <c r="S503" s="209"/>
      <c r="T503" s="209"/>
      <c r="U503" s="209"/>
      <c r="V503" s="209"/>
      <c r="W503" s="209"/>
      <c r="X503" s="209"/>
    </row>
    <row r="504" spans="1:24" x14ac:dyDescent="0.25">
      <c r="A504" s="209"/>
      <c r="B504" s="209"/>
      <c r="C504" s="209"/>
      <c r="D504" s="209"/>
      <c r="E504" s="209"/>
      <c r="G504" s="209"/>
      <c r="H504" s="209"/>
      <c r="I504" s="209"/>
      <c r="J504" s="599"/>
      <c r="K504" s="209"/>
      <c r="L504" s="209"/>
      <c r="M504" s="209"/>
      <c r="N504" s="209"/>
      <c r="O504" s="209"/>
      <c r="P504" s="209"/>
      <c r="Q504" s="209"/>
      <c r="R504" s="209"/>
      <c r="S504" s="209"/>
      <c r="T504" s="209"/>
      <c r="U504" s="209"/>
      <c r="V504" s="209"/>
      <c r="W504" s="209"/>
      <c r="X504" s="209"/>
    </row>
    <row r="505" spans="1:24" x14ac:dyDescent="0.25">
      <c r="A505" s="209"/>
      <c r="B505" s="209"/>
      <c r="C505" s="209"/>
      <c r="D505" s="209"/>
      <c r="E505" s="209"/>
      <c r="G505" s="209"/>
      <c r="H505" s="209"/>
      <c r="I505" s="209"/>
      <c r="J505" s="599"/>
      <c r="K505" s="209"/>
      <c r="L505" s="209"/>
      <c r="M505" s="209"/>
      <c r="N505" s="209"/>
      <c r="O505" s="209"/>
      <c r="P505" s="209"/>
      <c r="Q505" s="209"/>
      <c r="R505" s="209"/>
      <c r="S505" s="209"/>
      <c r="T505" s="209"/>
      <c r="U505" s="209"/>
      <c r="V505" s="209"/>
      <c r="W505" s="209"/>
      <c r="X505" s="209"/>
    </row>
    <row r="506" spans="1:24" x14ac:dyDescent="0.25">
      <c r="A506" s="209"/>
      <c r="B506" s="209"/>
      <c r="C506" s="209"/>
      <c r="D506" s="209"/>
      <c r="E506" s="209"/>
      <c r="G506" s="209"/>
      <c r="H506" s="209"/>
      <c r="I506" s="209"/>
      <c r="J506" s="599"/>
      <c r="K506" s="209"/>
      <c r="L506" s="209"/>
      <c r="M506" s="209"/>
      <c r="N506" s="209"/>
      <c r="O506" s="209"/>
      <c r="P506" s="209"/>
      <c r="Q506" s="209"/>
      <c r="R506" s="209"/>
      <c r="S506" s="209"/>
      <c r="T506" s="209"/>
      <c r="U506" s="209"/>
      <c r="V506" s="209"/>
      <c r="W506" s="209"/>
      <c r="X506" s="209"/>
    </row>
    <row r="507" spans="1:24" x14ac:dyDescent="0.25">
      <c r="A507" s="209"/>
      <c r="B507" s="209"/>
      <c r="C507" s="209"/>
      <c r="D507" s="209"/>
      <c r="E507" s="209"/>
      <c r="G507" s="209"/>
      <c r="H507" s="209"/>
      <c r="I507" s="209"/>
      <c r="J507" s="599"/>
      <c r="K507" s="209"/>
      <c r="L507" s="209"/>
      <c r="M507" s="209"/>
      <c r="N507" s="209"/>
      <c r="O507" s="209"/>
      <c r="P507" s="209"/>
      <c r="Q507" s="209"/>
      <c r="R507" s="209"/>
      <c r="S507" s="209"/>
      <c r="T507" s="209"/>
      <c r="U507" s="209"/>
      <c r="V507" s="209"/>
      <c r="W507" s="209"/>
      <c r="X507" s="209"/>
    </row>
    <row r="508" spans="1:24" x14ac:dyDescent="0.25">
      <c r="A508" s="209"/>
      <c r="B508" s="209"/>
      <c r="C508" s="209"/>
      <c r="D508" s="209"/>
      <c r="E508" s="209"/>
      <c r="G508" s="209"/>
      <c r="H508" s="209"/>
      <c r="I508" s="209"/>
      <c r="J508" s="599"/>
      <c r="K508" s="209"/>
      <c r="L508" s="209"/>
      <c r="M508" s="209"/>
      <c r="N508" s="209"/>
      <c r="O508" s="209"/>
      <c r="P508" s="209"/>
      <c r="Q508" s="209"/>
      <c r="R508" s="209"/>
      <c r="S508" s="209"/>
      <c r="T508" s="209"/>
      <c r="U508" s="209"/>
      <c r="V508" s="209"/>
      <c r="W508" s="209"/>
      <c r="X508" s="209"/>
    </row>
    <row r="509" spans="1:24" x14ac:dyDescent="0.25">
      <c r="A509" s="209"/>
      <c r="B509" s="209"/>
      <c r="C509" s="209"/>
      <c r="D509" s="209"/>
      <c r="E509" s="209"/>
      <c r="G509" s="209"/>
      <c r="H509" s="209"/>
      <c r="I509" s="209"/>
      <c r="J509" s="599"/>
      <c r="K509" s="209"/>
      <c r="L509" s="209"/>
      <c r="M509" s="209"/>
      <c r="N509" s="209"/>
      <c r="O509" s="209"/>
      <c r="P509" s="209"/>
      <c r="Q509" s="209"/>
      <c r="R509" s="209"/>
      <c r="S509" s="209"/>
      <c r="T509" s="209"/>
      <c r="U509" s="209"/>
      <c r="V509" s="209"/>
      <c r="W509" s="209"/>
      <c r="X509" s="209"/>
    </row>
    <row r="510" spans="1:24" x14ac:dyDescent="0.25">
      <c r="A510" s="209"/>
      <c r="B510" s="209"/>
      <c r="C510" s="209"/>
      <c r="D510" s="209"/>
      <c r="E510" s="209"/>
      <c r="G510" s="209"/>
      <c r="H510" s="209"/>
      <c r="I510" s="209"/>
      <c r="J510" s="599"/>
      <c r="K510" s="209"/>
      <c r="L510" s="209"/>
      <c r="M510" s="209"/>
      <c r="N510" s="209"/>
      <c r="O510" s="209"/>
      <c r="P510" s="209"/>
      <c r="Q510" s="209"/>
      <c r="R510" s="209"/>
      <c r="S510" s="209"/>
      <c r="T510" s="209"/>
      <c r="U510" s="209"/>
      <c r="V510" s="209"/>
      <c r="W510" s="209"/>
      <c r="X510" s="209"/>
    </row>
    <row r="511" spans="1:24" x14ac:dyDescent="0.25">
      <c r="A511" s="209"/>
      <c r="B511" s="209"/>
      <c r="C511" s="209"/>
      <c r="D511" s="209"/>
      <c r="E511" s="209"/>
      <c r="G511" s="209"/>
      <c r="H511" s="209"/>
      <c r="I511" s="209"/>
      <c r="J511" s="599"/>
      <c r="K511" s="209"/>
      <c r="L511" s="209"/>
      <c r="M511" s="209"/>
      <c r="N511" s="209"/>
      <c r="O511" s="209"/>
      <c r="P511" s="209"/>
      <c r="Q511" s="209"/>
      <c r="R511" s="209"/>
      <c r="S511" s="209"/>
      <c r="T511" s="209"/>
      <c r="U511" s="209"/>
      <c r="V511" s="209"/>
      <c r="W511" s="209"/>
      <c r="X511" s="209"/>
    </row>
    <row r="512" spans="1:24" x14ac:dyDescent="0.25">
      <c r="A512" s="209"/>
      <c r="B512" s="209"/>
      <c r="C512" s="209"/>
      <c r="D512" s="209"/>
      <c r="E512" s="209"/>
      <c r="G512" s="209"/>
      <c r="H512" s="209"/>
      <c r="I512" s="209"/>
      <c r="J512" s="599"/>
      <c r="K512" s="209"/>
      <c r="L512" s="209"/>
      <c r="M512" s="209"/>
      <c r="N512" s="209"/>
      <c r="O512" s="209"/>
      <c r="P512" s="209"/>
      <c r="Q512" s="209"/>
      <c r="R512" s="209"/>
      <c r="S512" s="209"/>
      <c r="T512" s="209"/>
      <c r="U512" s="209"/>
      <c r="V512" s="209"/>
      <c r="W512" s="209"/>
      <c r="X512" s="209"/>
    </row>
    <row r="513" spans="1:24" x14ac:dyDescent="0.25">
      <c r="A513" s="209"/>
      <c r="B513" s="209"/>
      <c r="C513" s="209"/>
      <c r="D513" s="209"/>
      <c r="E513" s="209"/>
      <c r="G513" s="209"/>
      <c r="H513" s="209"/>
      <c r="I513" s="209"/>
      <c r="J513" s="599"/>
      <c r="K513" s="209"/>
      <c r="L513" s="209"/>
      <c r="M513" s="209"/>
      <c r="N513" s="209"/>
      <c r="O513" s="209"/>
      <c r="P513" s="209"/>
      <c r="Q513" s="209"/>
      <c r="R513" s="209"/>
      <c r="S513" s="209"/>
      <c r="T513" s="209"/>
      <c r="U513" s="209"/>
      <c r="V513" s="209"/>
      <c r="W513" s="209"/>
      <c r="X513" s="209"/>
    </row>
    <row r="514" spans="1:24" x14ac:dyDescent="0.25">
      <c r="A514" s="209"/>
      <c r="B514" s="209"/>
      <c r="C514" s="209"/>
      <c r="D514" s="209"/>
      <c r="E514" s="209"/>
      <c r="G514" s="209"/>
      <c r="H514" s="209"/>
      <c r="I514" s="209"/>
      <c r="J514" s="599"/>
      <c r="K514" s="209"/>
      <c r="L514" s="209"/>
      <c r="M514" s="209"/>
      <c r="N514" s="209"/>
      <c r="O514" s="209"/>
      <c r="P514" s="209"/>
      <c r="Q514" s="209"/>
      <c r="R514" s="209"/>
      <c r="S514" s="209"/>
      <c r="T514" s="209"/>
      <c r="U514" s="209"/>
      <c r="V514" s="209"/>
      <c r="W514" s="209"/>
      <c r="X514" s="209"/>
    </row>
    <row r="515" spans="1:24" x14ac:dyDescent="0.25">
      <c r="A515" s="209"/>
      <c r="B515" s="209"/>
      <c r="C515" s="209"/>
      <c r="D515" s="209"/>
      <c r="E515" s="209"/>
      <c r="G515" s="209"/>
      <c r="H515" s="209"/>
      <c r="I515" s="209"/>
      <c r="J515" s="599"/>
      <c r="K515" s="209"/>
      <c r="L515" s="209"/>
      <c r="M515" s="209"/>
      <c r="N515" s="209"/>
      <c r="O515" s="209"/>
      <c r="P515" s="209"/>
      <c r="Q515" s="209"/>
      <c r="R515" s="209"/>
      <c r="S515" s="209"/>
      <c r="T515" s="209"/>
      <c r="U515" s="209"/>
      <c r="V515" s="209"/>
      <c r="W515" s="209"/>
      <c r="X515" s="209"/>
    </row>
  </sheetData>
  <mergeCells count="129">
    <mergeCell ref="B3:C3"/>
    <mergeCell ref="J3:L3"/>
    <mergeCell ref="B25:C25"/>
    <mergeCell ref="B61:C61"/>
    <mergeCell ref="B4:C4"/>
    <mergeCell ref="B23:C23"/>
    <mergeCell ref="B24:C24"/>
    <mergeCell ref="B27:C27"/>
    <mergeCell ref="B35:C35"/>
    <mergeCell ref="B37:C37"/>
    <mergeCell ref="J31:L31"/>
    <mergeCell ref="B5:C5"/>
    <mergeCell ref="B6:C6"/>
    <mergeCell ref="B7:C7"/>
    <mergeCell ref="B17:C17"/>
    <mergeCell ref="B18:C18"/>
    <mergeCell ref="B20:C20"/>
    <mergeCell ref="B58:C58"/>
    <mergeCell ref="J53:L53"/>
    <mergeCell ref="J54:L54"/>
    <mergeCell ref="J22:L22"/>
    <mergeCell ref="B14:C14"/>
    <mergeCell ref="B44:C44"/>
    <mergeCell ref="B41:C41"/>
    <mergeCell ref="B8:C8"/>
    <mergeCell ref="B11:C11"/>
    <mergeCell ref="B12:C12"/>
    <mergeCell ref="B13:C13"/>
    <mergeCell ref="B16:C16"/>
    <mergeCell ref="B36:C36"/>
    <mergeCell ref="B9:C9"/>
    <mergeCell ref="B10:C10"/>
    <mergeCell ref="B15:C15"/>
    <mergeCell ref="B22:C22"/>
    <mergeCell ref="B33:C33"/>
    <mergeCell ref="B26:C26"/>
    <mergeCell ref="B19:C19"/>
    <mergeCell ref="B28:C28"/>
    <mergeCell ref="B29:C29"/>
    <mergeCell ref="B30:C30"/>
    <mergeCell ref="B31:C31"/>
    <mergeCell ref="B32:C32"/>
    <mergeCell ref="B54:C54"/>
    <mergeCell ref="B49:C49"/>
    <mergeCell ref="B50:C50"/>
    <mergeCell ref="B53:C53"/>
    <mergeCell ref="B46:C46"/>
    <mergeCell ref="B51:C51"/>
    <mergeCell ref="B52:C52"/>
    <mergeCell ref="B47:C47"/>
    <mergeCell ref="B21:C21"/>
    <mergeCell ref="J23:L23"/>
    <mergeCell ref="J24:L24"/>
    <mergeCell ref="J25:L25"/>
    <mergeCell ref="J38:L38"/>
    <mergeCell ref="J39:L39"/>
    <mergeCell ref="J40:L40"/>
    <mergeCell ref="J48:L48"/>
    <mergeCell ref="J49:L49"/>
    <mergeCell ref="J26:L26"/>
    <mergeCell ref="J30:L30"/>
    <mergeCell ref="J27:L27"/>
    <mergeCell ref="J28:L28"/>
    <mergeCell ref="J29:L29"/>
    <mergeCell ref="J37:L37"/>
    <mergeCell ref="J32:L32"/>
    <mergeCell ref="J42:L42"/>
    <mergeCell ref="J43:L43"/>
    <mergeCell ref="J44:L44"/>
    <mergeCell ref="J45:L45"/>
    <mergeCell ref="J46:L46"/>
    <mergeCell ref="J47:L47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4:L4"/>
    <mergeCell ref="J5:L5"/>
    <mergeCell ref="J6:L6"/>
    <mergeCell ref="J7:L7"/>
    <mergeCell ref="J8:L8"/>
    <mergeCell ref="J9:L9"/>
    <mergeCell ref="J10:L10"/>
    <mergeCell ref="J11:L11"/>
    <mergeCell ref="J12:L12"/>
    <mergeCell ref="J51:L51"/>
    <mergeCell ref="J52:L52"/>
    <mergeCell ref="J33:L33"/>
    <mergeCell ref="B34:C34"/>
    <mergeCell ref="J34:L34"/>
    <mergeCell ref="J35:L35"/>
    <mergeCell ref="J36:L36"/>
    <mergeCell ref="B39:C39"/>
    <mergeCell ref="J41:L41"/>
    <mergeCell ref="J50:L50"/>
    <mergeCell ref="B40:C40"/>
    <mergeCell ref="B42:C42"/>
    <mergeCell ref="B43:C43"/>
    <mergeCell ref="B45:C45"/>
    <mergeCell ref="B48:C48"/>
    <mergeCell ref="J55:L55"/>
    <mergeCell ref="J68:L68"/>
    <mergeCell ref="J56:L56"/>
    <mergeCell ref="J57:L57"/>
    <mergeCell ref="J58:L58"/>
    <mergeCell ref="J66:L66"/>
    <mergeCell ref="J67:L67"/>
    <mergeCell ref="B66:C66"/>
    <mergeCell ref="B67:C67"/>
    <mergeCell ref="B59:C59"/>
    <mergeCell ref="J59:L59"/>
    <mergeCell ref="J60:L60"/>
    <mergeCell ref="J61:L61"/>
    <mergeCell ref="J62:L62"/>
    <mergeCell ref="J64:L64"/>
    <mergeCell ref="B64:C64"/>
    <mergeCell ref="B60:C60"/>
    <mergeCell ref="B57:C57"/>
    <mergeCell ref="B62:C62"/>
    <mergeCell ref="B56:C56"/>
    <mergeCell ref="B68:C68"/>
    <mergeCell ref="B55:C55"/>
    <mergeCell ref="B63:C63"/>
    <mergeCell ref="J63:K63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  <rowBreaks count="2" manualBreakCount="2">
    <brk id="70" max="10" man="1"/>
    <brk id="89" max="11" man="1"/>
  </rowBreaks>
  <colBreaks count="1" manualBreakCount="1">
    <brk id="12" max="11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79998168889431442"/>
  </sheetPr>
  <dimension ref="A1:H28"/>
  <sheetViews>
    <sheetView zoomScaleNormal="100" zoomScaleSheetLayoutView="84" workbookViewId="0">
      <selection activeCell="F13" sqref="F13"/>
    </sheetView>
  </sheetViews>
  <sheetFormatPr defaultRowHeight="15.5" x14ac:dyDescent="0.35"/>
  <cols>
    <col min="1" max="1" width="90.1796875" style="343" customWidth="1"/>
    <col min="2" max="2" width="22" style="343" customWidth="1"/>
    <col min="3" max="3" width="24.1796875" style="343" customWidth="1"/>
    <col min="4" max="4" width="22.81640625" style="343" customWidth="1"/>
    <col min="5" max="5" width="23.1796875" style="343" customWidth="1"/>
    <col min="6" max="8" width="19.81640625" style="343" customWidth="1"/>
    <col min="9" max="9" width="12.453125" style="343" bestFit="1" customWidth="1"/>
    <col min="10" max="255" width="9.1796875" style="343"/>
    <col min="256" max="256" width="90.1796875" style="343" customWidth="1"/>
    <col min="257" max="257" width="18" style="343" customWidth="1"/>
    <col min="258" max="258" width="15.54296875" style="343" customWidth="1"/>
    <col min="259" max="259" width="19.453125" style="343" customWidth="1"/>
    <col min="260" max="260" width="13.81640625" style="343" customWidth="1"/>
    <col min="261" max="261" width="19.1796875" style="343" customWidth="1"/>
    <col min="262" max="262" width="14.81640625" style="343" customWidth="1"/>
    <col min="263" max="263" width="19.81640625" style="343" customWidth="1"/>
    <col min="264" max="264" width="14.54296875" style="343" customWidth="1"/>
    <col min="265" max="265" width="12.453125" style="343" bestFit="1" customWidth="1"/>
    <col min="266" max="511" width="9.1796875" style="343"/>
    <col min="512" max="512" width="90.1796875" style="343" customWidth="1"/>
    <col min="513" max="513" width="18" style="343" customWidth="1"/>
    <col min="514" max="514" width="15.54296875" style="343" customWidth="1"/>
    <col min="515" max="515" width="19.453125" style="343" customWidth="1"/>
    <col min="516" max="516" width="13.81640625" style="343" customWidth="1"/>
    <col min="517" max="517" width="19.1796875" style="343" customWidth="1"/>
    <col min="518" max="518" width="14.81640625" style="343" customWidth="1"/>
    <col min="519" max="519" width="19.81640625" style="343" customWidth="1"/>
    <col min="520" max="520" width="14.54296875" style="343" customWidth="1"/>
    <col min="521" max="521" width="12.453125" style="343" bestFit="1" customWidth="1"/>
    <col min="522" max="767" width="9.1796875" style="343"/>
    <col min="768" max="768" width="90.1796875" style="343" customWidth="1"/>
    <col min="769" max="769" width="18" style="343" customWidth="1"/>
    <col min="770" max="770" width="15.54296875" style="343" customWidth="1"/>
    <col min="771" max="771" width="19.453125" style="343" customWidth="1"/>
    <col min="772" max="772" width="13.81640625" style="343" customWidth="1"/>
    <col min="773" max="773" width="19.1796875" style="343" customWidth="1"/>
    <col min="774" max="774" width="14.81640625" style="343" customWidth="1"/>
    <col min="775" max="775" width="19.81640625" style="343" customWidth="1"/>
    <col min="776" max="776" width="14.54296875" style="343" customWidth="1"/>
    <col min="777" max="777" width="12.453125" style="343" bestFit="1" customWidth="1"/>
    <col min="778" max="1023" width="9.1796875" style="343"/>
    <col min="1024" max="1024" width="90.1796875" style="343" customWidth="1"/>
    <col min="1025" max="1025" width="18" style="343" customWidth="1"/>
    <col min="1026" max="1026" width="15.54296875" style="343" customWidth="1"/>
    <col min="1027" max="1027" width="19.453125" style="343" customWidth="1"/>
    <col min="1028" max="1028" width="13.81640625" style="343" customWidth="1"/>
    <col min="1029" max="1029" width="19.1796875" style="343" customWidth="1"/>
    <col min="1030" max="1030" width="14.81640625" style="343" customWidth="1"/>
    <col min="1031" max="1031" width="19.81640625" style="343" customWidth="1"/>
    <col min="1032" max="1032" width="14.54296875" style="343" customWidth="1"/>
    <col min="1033" max="1033" width="12.453125" style="343" bestFit="1" customWidth="1"/>
    <col min="1034" max="1279" width="9.1796875" style="343"/>
    <col min="1280" max="1280" width="90.1796875" style="343" customWidth="1"/>
    <col min="1281" max="1281" width="18" style="343" customWidth="1"/>
    <col min="1282" max="1282" width="15.54296875" style="343" customWidth="1"/>
    <col min="1283" max="1283" width="19.453125" style="343" customWidth="1"/>
    <col min="1284" max="1284" width="13.81640625" style="343" customWidth="1"/>
    <col min="1285" max="1285" width="19.1796875" style="343" customWidth="1"/>
    <col min="1286" max="1286" width="14.81640625" style="343" customWidth="1"/>
    <col min="1287" max="1287" width="19.81640625" style="343" customWidth="1"/>
    <col min="1288" max="1288" width="14.54296875" style="343" customWidth="1"/>
    <col min="1289" max="1289" width="12.453125" style="343" bestFit="1" customWidth="1"/>
    <col min="1290" max="1535" width="9.1796875" style="343"/>
    <col min="1536" max="1536" width="90.1796875" style="343" customWidth="1"/>
    <col min="1537" max="1537" width="18" style="343" customWidth="1"/>
    <col min="1538" max="1538" width="15.54296875" style="343" customWidth="1"/>
    <col min="1539" max="1539" width="19.453125" style="343" customWidth="1"/>
    <col min="1540" max="1540" width="13.81640625" style="343" customWidth="1"/>
    <col min="1541" max="1541" width="19.1796875" style="343" customWidth="1"/>
    <col min="1542" max="1542" width="14.81640625" style="343" customWidth="1"/>
    <col min="1543" max="1543" width="19.81640625" style="343" customWidth="1"/>
    <col min="1544" max="1544" width="14.54296875" style="343" customWidth="1"/>
    <col min="1545" max="1545" width="12.453125" style="343" bestFit="1" customWidth="1"/>
    <col min="1546" max="1791" width="9.1796875" style="343"/>
    <col min="1792" max="1792" width="90.1796875" style="343" customWidth="1"/>
    <col min="1793" max="1793" width="18" style="343" customWidth="1"/>
    <col min="1794" max="1794" width="15.54296875" style="343" customWidth="1"/>
    <col min="1795" max="1795" width="19.453125" style="343" customWidth="1"/>
    <col min="1796" max="1796" width="13.81640625" style="343" customWidth="1"/>
    <col min="1797" max="1797" width="19.1796875" style="343" customWidth="1"/>
    <col min="1798" max="1798" width="14.81640625" style="343" customWidth="1"/>
    <col min="1799" max="1799" width="19.81640625" style="343" customWidth="1"/>
    <col min="1800" max="1800" width="14.54296875" style="343" customWidth="1"/>
    <col min="1801" max="1801" width="12.453125" style="343" bestFit="1" customWidth="1"/>
    <col min="1802" max="2047" width="9.1796875" style="343"/>
    <col min="2048" max="2048" width="90.1796875" style="343" customWidth="1"/>
    <col min="2049" max="2049" width="18" style="343" customWidth="1"/>
    <col min="2050" max="2050" width="15.54296875" style="343" customWidth="1"/>
    <col min="2051" max="2051" width="19.453125" style="343" customWidth="1"/>
    <col min="2052" max="2052" width="13.81640625" style="343" customWidth="1"/>
    <col min="2053" max="2053" width="19.1796875" style="343" customWidth="1"/>
    <col min="2054" max="2054" width="14.81640625" style="343" customWidth="1"/>
    <col min="2055" max="2055" width="19.81640625" style="343" customWidth="1"/>
    <col min="2056" max="2056" width="14.54296875" style="343" customWidth="1"/>
    <col min="2057" max="2057" width="12.453125" style="343" bestFit="1" customWidth="1"/>
    <col min="2058" max="2303" width="9.1796875" style="343"/>
    <col min="2304" max="2304" width="90.1796875" style="343" customWidth="1"/>
    <col min="2305" max="2305" width="18" style="343" customWidth="1"/>
    <col min="2306" max="2306" width="15.54296875" style="343" customWidth="1"/>
    <col min="2307" max="2307" width="19.453125" style="343" customWidth="1"/>
    <col min="2308" max="2308" width="13.81640625" style="343" customWidth="1"/>
    <col min="2309" max="2309" width="19.1796875" style="343" customWidth="1"/>
    <col min="2310" max="2310" width="14.81640625" style="343" customWidth="1"/>
    <col min="2311" max="2311" width="19.81640625" style="343" customWidth="1"/>
    <col min="2312" max="2312" width="14.54296875" style="343" customWidth="1"/>
    <col min="2313" max="2313" width="12.453125" style="343" bestFit="1" customWidth="1"/>
    <col min="2314" max="2559" width="9.1796875" style="343"/>
    <col min="2560" max="2560" width="90.1796875" style="343" customWidth="1"/>
    <col min="2561" max="2561" width="18" style="343" customWidth="1"/>
    <col min="2562" max="2562" width="15.54296875" style="343" customWidth="1"/>
    <col min="2563" max="2563" width="19.453125" style="343" customWidth="1"/>
    <col min="2564" max="2564" width="13.81640625" style="343" customWidth="1"/>
    <col min="2565" max="2565" width="19.1796875" style="343" customWidth="1"/>
    <col min="2566" max="2566" width="14.81640625" style="343" customWidth="1"/>
    <col min="2567" max="2567" width="19.81640625" style="343" customWidth="1"/>
    <col min="2568" max="2568" width="14.54296875" style="343" customWidth="1"/>
    <col min="2569" max="2569" width="12.453125" style="343" bestFit="1" customWidth="1"/>
    <col min="2570" max="2815" width="9.1796875" style="343"/>
    <col min="2816" max="2816" width="90.1796875" style="343" customWidth="1"/>
    <col min="2817" max="2817" width="18" style="343" customWidth="1"/>
    <col min="2818" max="2818" width="15.54296875" style="343" customWidth="1"/>
    <col min="2819" max="2819" width="19.453125" style="343" customWidth="1"/>
    <col min="2820" max="2820" width="13.81640625" style="343" customWidth="1"/>
    <col min="2821" max="2821" width="19.1796875" style="343" customWidth="1"/>
    <col min="2822" max="2822" width="14.81640625" style="343" customWidth="1"/>
    <col min="2823" max="2823" width="19.81640625" style="343" customWidth="1"/>
    <col min="2824" max="2824" width="14.54296875" style="343" customWidth="1"/>
    <col min="2825" max="2825" width="12.453125" style="343" bestFit="1" customWidth="1"/>
    <col min="2826" max="3071" width="9.1796875" style="343"/>
    <col min="3072" max="3072" width="90.1796875" style="343" customWidth="1"/>
    <col min="3073" max="3073" width="18" style="343" customWidth="1"/>
    <col min="3074" max="3074" width="15.54296875" style="343" customWidth="1"/>
    <col min="3075" max="3075" width="19.453125" style="343" customWidth="1"/>
    <col min="3076" max="3076" width="13.81640625" style="343" customWidth="1"/>
    <col min="3077" max="3077" width="19.1796875" style="343" customWidth="1"/>
    <col min="3078" max="3078" width="14.81640625" style="343" customWidth="1"/>
    <col min="3079" max="3079" width="19.81640625" style="343" customWidth="1"/>
    <col min="3080" max="3080" width="14.54296875" style="343" customWidth="1"/>
    <col min="3081" max="3081" width="12.453125" style="343" bestFit="1" customWidth="1"/>
    <col min="3082" max="3327" width="9.1796875" style="343"/>
    <col min="3328" max="3328" width="90.1796875" style="343" customWidth="1"/>
    <col min="3329" max="3329" width="18" style="343" customWidth="1"/>
    <col min="3330" max="3330" width="15.54296875" style="343" customWidth="1"/>
    <col min="3331" max="3331" width="19.453125" style="343" customWidth="1"/>
    <col min="3332" max="3332" width="13.81640625" style="343" customWidth="1"/>
    <col min="3333" max="3333" width="19.1796875" style="343" customWidth="1"/>
    <col min="3334" max="3334" width="14.81640625" style="343" customWidth="1"/>
    <col min="3335" max="3335" width="19.81640625" style="343" customWidth="1"/>
    <col min="3336" max="3336" width="14.54296875" style="343" customWidth="1"/>
    <col min="3337" max="3337" width="12.453125" style="343" bestFit="1" customWidth="1"/>
    <col min="3338" max="3583" width="9.1796875" style="343"/>
    <col min="3584" max="3584" width="90.1796875" style="343" customWidth="1"/>
    <col min="3585" max="3585" width="18" style="343" customWidth="1"/>
    <col min="3586" max="3586" width="15.54296875" style="343" customWidth="1"/>
    <col min="3587" max="3587" width="19.453125" style="343" customWidth="1"/>
    <col min="3588" max="3588" width="13.81640625" style="343" customWidth="1"/>
    <col min="3589" max="3589" width="19.1796875" style="343" customWidth="1"/>
    <col min="3590" max="3590" width="14.81640625" style="343" customWidth="1"/>
    <col min="3591" max="3591" width="19.81640625" style="343" customWidth="1"/>
    <col min="3592" max="3592" width="14.54296875" style="343" customWidth="1"/>
    <col min="3593" max="3593" width="12.453125" style="343" bestFit="1" customWidth="1"/>
    <col min="3594" max="3839" width="9.1796875" style="343"/>
    <col min="3840" max="3840" width="90.1796875" style="343" customWidth="1"/>
    <col min="3841" max="3841" width="18" style="343" customWidth="1"/>
    <col min="3842" max="3842" width="15.54296875" style="343" customWidth="1"/>
    <col min="3843" max="3843" width="19.453125" style="343" customWidth="1"/>
    <col min="3844" max="3844" width="13.81640625" style="343" customWidth="1"/>
    <col min="3845" max="3845" width="19.1796875" style="343" customWidth="1"/>
    <col min="3846" max="3846" width="14.81640625" style="343" customWidth="1"/>
    <col min="3847" max="3847" width="19.81640625" style="343" customWidth="1"/>
    <col min="3848" max="3848" width="14.54296875" style="343" customWidth="1"/>
    <col min="3849" max="3849" width="12.453125" style="343" bestFit="1" customWidth="1"/>
    <col min="3850" max="4095" width="9.1796875" style="343"/>
    <col min="4096" max="4096" width="90.1796875" style="343" customWidth="1"/>
    <col min="4097" max="4097" width="18" style="343" customWidth="1"/>
    <col min="4098" max="4098" width="15.54296875" style="343" customWidth="1"/>
    <col min="4099" max="4099" width="19.453125" style="343" customWidth="1"/>
    <col min="4100" max="4100" width="13.81640625" style="343" customWidth="1"/>
    <col min="4101" max="4101" width="19.1796875" style="343" customWidth="1"/>
    <col min="4102" max="4102" width="14.81640625" style="343" customWidth="1"/>
    <col min="4103" max="4103" width="19.81640625" style="343" customWidth="1"/>
    <col min="4104" max="4104" width="14.54296875" style="343" customWidth="1"/>
    <col min="4105" max="4105" width="12.453125" style="343" bestFit="1" customWidth="1"/>
    <col min="4106" max="4351" width="9.1796875" style="343"/>
    <col min="4352" max="4352" width="90.1796875" style="343" customWidth="1"/>
    <col min="4353" max="4353" width="18" style="343" customWidth="1"/>
    <col min="4354" max="4354" width="15.54296875" style="343" customWidth="1"/>
    <col min="4355" max="4355" width="19.453125" style="343" customWidth="1"/>
    <col min="4356" max="4356" width="13.81640625" style="343" customWidth="1"/>
    <col min="4357" max="4357" width="19.1796875" style="343" customWidth="1"/>
    <col min="4358" max="4358" width="14.81640625" style="343" customWidth="1"/>
    <col min="4359" max="4359" width="19.81640625" style="343" customWidth="1"/>
    <col min="4360" max="4360" width="14.54296875" style="343" customWidth="1"/>
    <col min="4361" max="4361" width="12.453125" style="343" bestFit="1" customWidth="1"/>
    <col min="4362" max="4607" width="9.1796875" style="343"/>
    <col min="4608" max="4608" width="90.1796875" style="343" customWidth="1"/>
    <col min="4609" max="4609" width="18" style="343" customWidth="1"/>
    <col min="4610" max="4610" width="15.54296875" style="343" customWidth="1"/>
    <col min="4611" max="4611" width="19.453125" style="343" customWidth="1"/>
    <col min="4612" max="4612" width="13.81640625" style="343" customWidth="1"/>
    <col min="4613" max="4613" width="19.1796875" style="343" customWidth="1"/>
    <col min="4614" max="4614" width="14.81640625" style="343" customWidth="1"/>
    <col min="4615" max="4615" width="19.81640625" style="343" customWidth="1"/>
    <col min="4616" max="4616" width="14.54296875" style="343" customWidth="1"/>
    <col min="4617" max="4617" width="12.453125" style="343" bestFit="1" customWidth="1"/>
    <col min="4618" max="4863" width="9.1796875" style="343"/>
    <col min="4864" max="4864" width="90.1796875" style="343" customWidth="1"/>
    <col min="4865" max="4865" width="18" style="343" customWidth="1"/>
    <col min="4866" max="4866" width="15.54296875" style="343" customWidth="1"/>
    <col min="4867" max="4867" width="19.453125" style="343" customWidth="1"/>
    <col min="4868" max="4868" width="13.81640625" style="343" customWidth="1"/>
    <col min="4869" max="4869" width="19.1796875" style="343" customWidth="1"/>
    <col min="4870" max="4870" width="14.81640625" style="343" customWidth="1"/>
    <col min="4871" max="4871" width="19.81640625" style="343" customWidth="1"/>
    <col min="4872" max="4872" width="14.54296875" style="343" customWidth="1"/>
    <col min="4873" max="4873" width="12.453125" style="343" bestFit="1" customWidth="1"/>
    <col min="4874" max="5119" width="9.1796875" style="343"/>
    <col min="5120" max="5120" width="90.1796875" style="343" customWidth="1"/>
    <col min="5121" max="5121" width="18" style="343" customWidth="1"/>
    <col min="5122" max="5122" width="15.54296875" style="343" customWidth="1"/>
    <col min="5123" max="5123" width="19.453125" style="343" customWidth="1"/>
    <col min="5124" max="5124" width="13.81640625" style="343" customWidth="1"/>
    <col min="5125" max="5125" width="19.1796875" style="343" customWidth="1"/>
    <col min="5126" max="5126" width="14.81640625" style="343" customWidth="1"/>
    <col min="5127" max="5127" width="19.81640625" style="343" customWidth="1"/>
    <col min="5128" max="5128" width="14.54296875" style="343" customWidth="1"/>
    <col min="5129" max="5129" width="12.453125" style="343" bestFit="1" customWidth="1"/>
    <col min="5130" max="5375" width="9.1796875" style="343"/>
    <col min="5376" max="5376" width="90.1796875" style="343" customWidth="1"/>
    <col min="5377" max="5377" width="18" style="343" customWidth="1"/>
    <col min="5378" max="5378" width="15.54296875" style="343" customWidth="1"/>
    <col min="5379" max="5379" width="19.453125" style="343" customWidth="1"/>
    <col min="5380" max="5380" width="13.81640625" style="343" customWidth="1"/>
    <col min="5381" max="5381" width="19.1796875" style="343" customWidth="1"/>
    <col min="5382" max="5382" width="14.81640625" style="343" customWidth="1"/>
    <col min="5383" max="5383" width="19.81640625" style="343" customWidth="1"/>
    <col min="5384" max="5384" width="14.54296875" style="343" customWidth="1"/>
    <col min="5385" max="5385" width="12.453125" style="343" bestFit="1" customWidth="1"/>
    <col min="5386" max="5631" width="9.1796875" style="343"/>
    <col min="5632" max="5632" width="90.1796875" style="343" customWidth="1"/>
    <col min="5633" max="5633" width="18" style="343" customWidth="1"/>
    <col min="5634" max="5634" width="15.54296875" style="343" customWidth="1"/>
    <col min="5635" max="5635" width="19.453125" style="343" customWidth="1"/>
    <col min="5636" max="5636" width="13.81640625" style="343" customWidth="1"/>
    <col min="5637" max="5637" width="19.1796875" style="343" customWidth="1"/>
    <col min="5638" max="5638" width="14.81640625" style="343" customWidth="1"/>
    <col min="5639" max="5639" width="19.81640625" style="343" customWidth="1"/>
    <col min="5640" max="5640" width="14.54296875" style="343" customWidth="1"/>
    <col min="5641" max="5641" width="12.453125" style="343" bestFit="1" customWidth="1"/>
    <col min="5642" max="5887" width="9.1796875" style="343"/>
    <col min="5888" max="5888" width="90.1796875" style="343" customWidth="1"/>
    <col min="5889" max="5889" width="18" style="343" customWidth="1"/>
    <col min="5890" max="5890" width="15.54296875" style="343" customWidth="1"/>
    <col min="5891" max="5891" width="19.453125" style="343" customWidth="1"/>
    <col min="5892" max="5892" width="13.81640625" style="343" customWidth="1"/>
    <col min="5893" max="5893" width="19.1796875" style="343" customWidth="1"/>
    <col min="5894" max="5894" width="14.81640625" style="343" customWidth="1"/>
    <col min="5895" max="5895" width="19.81640625" style="343" customWidth="1"/>
    <col min="5896" max="5896" width="14.54296875" style="343" customWidth="1"/>
    <col min="5897" max="5897" width="12.453125" style="343" bestFit="1" customWidth="1"/>
    <col min="5898" max="6143" width="9.1796875" style="343"/>
    <col min="6144" max="6144" width="90.1796875" style="343" customWidth="1"/>
    <col min="6145" max="6145" width="18" style="343" customWidth="1"/>
    <col min="6146" max="6146" width="15.54296875" style="343" customWidth="1"/>
    <col min="6147" max="6147" width="19.453125" style="343" customWidth="1"/>
    <col min="6148" max="6148" width="13.81640625" style="343" customWidth="1"/>
    <col min="6149" max="6149" width="19.1796875" style="343" customWidth="1"/>
    <col min="6150" max="6150" width="14.81640625" style="343" customWidth="1"/>
    <col min="6151" max="6151" width="19.81640625" style="343" customWidth="1"/>
    <col min="6152" max="6152" width="14.54296875" style="343" customWidth="1"/>
    <col min="6153" max="6153" width="12.453125" style="343" bestFit="1" customWidth="1"/>
    <col min="6154" max="6399" width="9.1796875" style="343"/>
    <col min="6400" max="6400" width="90.1796875" style="343" customWidth="1"/>
    <col min="6401" max="6401" width="18" style="343" customWidth="1"/>
    <col min="6402" max="6402" width="15.54296875" style="343" customWidth="1"/>
    <col min="6403" max="6403" width="19.453125" style="343" customWidth="1"/>
    <col min="6404" max="6404" width="13.81640625" style="343" customWidth="1"/>
    <col min="6405" max="6405" width="19.1796875" style="343" customWidth="1"/>
    <col min="6406" max="6406" width="14.81640625" style="343" customWidth="1"/>
    <col min="6407" max="6407" width="19.81640625" style="343" customWidth="1"/>
    <col min="6408" max="6408" width="14.54296875" style="343" customWidth="1"/>
    <col min="6409" max="6409" width="12.453125" style="343" bestFit="1" customWidth="1"/>
    <col min="6410" max="6655" width="9.1796875" style="343"/>
    <col min="6656" max="6656" width="90.1796875" style="343" customWidth="1"/>
    <col min="6657" max="6657" width="18" style="343" customWidth="1"/>
    <col min="6658" max="6658" width="15.54296875" style="343" customWidth="1"/>
    <col min="6659" max="6659" width="19.453125" style="343" customWidth="1"/>
    <col min="6660" max="6660" width="13.81640625" style="343" customWidth="1"/>
    <col min="6661" max="6661" width="19.1796875" style="343" customWidth="1"/>
    <col min="6662" max="6662" width="14.81640625" style="343" customWidth="1"/>
    <col min="6663" max="6663" width="19.81640625" style="343" customWidth="1"/>
    <col min="6664" max="6664" width="14.54296875" style="343" customWidth="1"/>
    <col min="6665" max="6665" width="12.453125" style="343" bestFit="1" customWidth="1"/>
    <col min="6666" max="6911" width="9.1796875" style="343"/>
    <col min="6912" max="6912" width="90.1796875" style="343" customWidth="1"/>
    <col min="6913" max="6913" width="18" style="343" customWidth="1"/>
    <col min="6914" max="6914" width="15.54296875" style="343" customWidth="1"/>
    <col min="6915" max="6915" width="19.453125" style="343" customWidth="1"/>
    <col min="6916" max="6916" width="13.81640625" style="343" customWidth="1"/>
    <col min="6917" max="6917" width="19.1796875" style="343" customWidth="1"/>
    <col min="6918" max="6918" width="14.81640625" style="343" customWidth="1"/>
    <col min="6919" max="6919" width="19.81640625" style="343" customWidth="1"/>
    <col min="6920" max="6920" width="14.54296875" style="343" customWidth="1"/>
    <col min="6921" max="6921" width="12.453125" style="343" bestFit="1" customWidth="1"/>
    <col min="6922" max="7167" width="9.1796875" style="343"/>
    <col min="7168" max="7168" width="90.1796875" style="343" customWidth="1"/>
    <col min="7169" max="7169" width="18" style="343" customWidth="1"/>
    <col min="7170" max="7170" width="15.54296875" style="343" customWidth="1"/>
    <col min="7171" max="7171" width="19.453125" style="343" customWidth="1"/>
    <col min="7172" max="7172" width="13.81640625" style="343" customWidth="1"/>
    <col min="7173" max="7173" width="19.1796875" style="343" customWidth="1"/>
    <col min="7174" max="7174" width="14.81640625" style="343" customWidth="1"/>
    <col min="7175" max="7175" width="19.81640625" style="343" customWidth="1"/>
    <col min="7176" max="7176" width="14.54296875" style="343" customWidth="1"/>
    <col min="7177" max="7177" width="12.453125" style="343" bestFit="1" customWidth="1"/>
    <col min="7178" max="7423" width="9.1796875" style="343"/>
    <col min="7424" max="7424" width="90.1796875" style="343" customWidth="1"/>
    <col min="7425" max="7425" width="18" style="343" customWidth="1"/>
    <col min="7426" max="7426" width="15.54296875" style="343" customWidth="1"/>
    <col min="7427" max="7427" width="19.453125" style="343" customWidth="1"/>
    <col min="7428" max="7428" width="13.81640625" style="343" customWidth="1"/>
    <col min="7429" max="7429" width="19.1796875" style="343" customWidth="1"/>
    <col min="7430" max="7430" width="14.81640625" style="343" customWidth="1"/>
    <col min="7431" max="7431" width="19.81640625" style="343" customWidth="1"/>
    <col min="7432" max="7432" width="14.54296875" style="343" customWidth="1"/>
    <col min="7433" max="7433" width="12.453125" style="343" bestFit="1" customWidth="1"/>
    <col min="7434" max="7679" width="9.1796875" style="343"/>
    <col min="7680" max="7680" width="90.1796875" style="343" customWidth="1"/>
    <col min="7681" max="7681" width="18" style="343" customWidth="1"/>
    <col min="7682" max="7682" width="15.54296875" style="343" customWidth="1"/>
    <col min="7683" max="7683" width="19.453125" style="343" customWidth="1"/>
    <col min="7684" max="7684" width="13.81640625" style="343" customWidth="1"/>
    <col min="7685" max="7685" width="19.1796875" style="343" customWidth="1"/>
    <col min="7686" max="7686" width="14.81640625" style="343" customWidth="1"/>
    <col min="7687" max="7687" width="19.81640625" style="343" customWidth="1"/>
    <col min="7688" max="7688" width="14.54296875" style="343" customWidth="1"/>
    <col min="7689" max="7689" width="12.453125" style="343" bestFit="1" customWidth="1"/>
    <col min="7690" max="7935" width="9.1796875" style="343"/>
    <col min="7936" max="7936" width="90.1796875" style="343" customWidth="1"/>
    <col min="7937" max="7937" width="18" style="343" customWidth="1"/>
    <col min="7938" max="7938" width="15.54296875" style="343" customWidth="1"/>
    <col min="7939" max="7939" width="19.453125" style="343" customWidth="1"/>
    <col min="7940" max="7940" width="13.81640625" style="343" customWidth="1"/>
    <col min="7941" max="7941" width="19.1796875" style="343" customWidth="1"/>
    <col min="7942" max="7942" width="14.81640625" style="343" customWidth="1"/>
    <col min="7943" max="7943" width="19.81640625" style="343" customWidth="1"/>
    <col min="7944" max="7944" width="14.54296875" style="343" customWidth="1"/>
    <col min="7945" max="7945" width="12.453125" style="343" bestFit="1" customWidth="1"/>
    <col min="7946" max="8191" width="9.1796875" style="343"/>
    <col min="8192" max="8192" width="90.1796875" style="343" customWidth="1"/>
    <col min="8193" max="8193" width="18" style="343" customWidth="1"/>
    <col min="8194" max="8194" width="15.54296875" style="343" customWidth="1"/>
    <col min="8195" max="8195" width="19.453125" style="343" customWidth="1"/>
    <col min="8196" max="8196" width="13.81640625" style="343" customWidth="1"/>
    <col min="8197" max="8197" width="19.1796875" style="343" customWidth="1"/>
    <col min="8198" max="8198" width="14.81640625" style="343" customWidth="1"/>
    <col min="8199" max="8199" width="19.81640625" style="343" customWidth="1"/>
    <col min="8200" max="8200" width="14.54296875" style="343" customWidth="1"/>
    <col min="8201" max="8201" width="12.453125" style="343" bestFit="1" customWidth="1"/>
    <col min="8202" max="8447" width="9.1796875" style="343"/>
    <col min="8448" max="8448" width="90.1796875" style="343" customWidth="1"/>
    <col min="8449" max="8449" width="18" style="343" customWidth="1"/>
    <col min="8450" max="8450" width="15.54296875" style="343" customWidth="1"/>
    <col min="8451" max="8451" width="19.453125" style="343" customWidth="1"/>
    <col min="8452" max="8452" width="13.81640625" style="343" customWidth="1"/>
    <col min="8453" max="8453" width="19.1796875" style="343" customWidth="1"/>
    <col min="8454" max="8454" width="14.81640625" style="343" customWidth="1"/>
    <col min="8455" max="8455" width="19.81640625" style="343" customWidth="1"/>
    <col min="8456" max="8456" width="14.54296875" style="343" customWidth="1"/>
    <col min="8457" max="8457" width="12.453125" style="343" bestFit="1" customWidth="1"/>
    <col min="8458" max="8703" width="9.1796875" style="343"/>
    <col min="8704" max="8704" width="90.1796875" style="343" customWidth="1"/>
    <col min="8705" max="8705" width="18" style="343" customWidth="1"/>
    <col min="8706" max="8706" width="15.54296875" style="343" customWidth="1"/>
    <col min="8707" max="8707" width="19.453125" style="343" customWidth="1"/>
    <col min="8708" max="8708" width="13.81640625" style="343" customWidth="1"/>
    <col min="8709" max="8709" width="19.1796875" style="343" customWidth="1"/>
    <col min="8710" max="8710" width="14.81640625" style="343" customWidth="1"/>
    <col min="8711" max="8711" width="19.81640625" style="343" customWidth="1"/>
    <col min="8712" max="8712" width="14.54296875" style="343" customWidth="1"/>
    <col min="8713" max="8713" width="12.453125" style="343" bestFit="1" customWidth="1"/>
    <col min="8714" max="8959" width="9.1796875" style="343"/>
    <col min="8960" max="8960" width="90.1796875" style="343" customWidth="1"/>
    <col min="8961" max="8961" width="18" style="343" customWidth="1"/>
    <col min="8962" max="8962" width="15.54296875" style="343" customWidth="1"/>
    <col min="8963" max="8963" width="19.453125" style="343" customWidth="1"/>
    <col min="8964" max="8964" width="13.81640625" style="343" customWidth="1"/>
    <col min="8965" max="8965" width="19.1796875" style="343" customWidth="1"/>
    <col min="8966" max="8966" width="14.81640625" style="343" customWidth="1"/>
    <col min="8967" max="8967" width="19.81640625" style="343" customWidth="1"/>
    <col min="8968" max="8968" width="14.54296875" style="343" customWidth="1"/>
    <col min="8969" max="8969" width="12.453125" style="343" bestFit="1" customWidth="1"/>
    <col min="8970" max="9215" width="9.1796875" style="343"/>
    <col min="9216" max="9216" width="90.1796875" style="343" customWidth="1"/>
    <col min="9217" max="9217" width="18" style="343" customWidth="1"/>
    <col min="9218" max="9218" width="15.54296875" style="343" customWidth="1"/>
    <col min="9219" max="9219" width="19.453125" style="343" customWidth="1"/>
    <col min="9220" max="9220" width="13.81640625" style="343" customWidth="1"/>
    <col min="9221" max="9221" width="19.1796875" style="343" customWidth="1"/>
    <col min="9222" max="9222" width="14.81640625" style="343" customWidth="1"/>
    <col min="9223" max="9223" width="19.81640625" style="343" customWidth="1"/>
    <col min="9224" max="9224" width="14.54296875" style="343" customWidth="1"/>
    <col min="9225" max="9225" width="12.453125" style="343" bestFit="1" customWidth="1"/>
    <col min="9226" max="9471" width="9.1796875" style="343"/>
    <col min="9472" max="9472" width="90.1796875" style="343" customWidth="1"/>
    <col min="9473" max="9473" width="18" style="343" customWidth="1"/>
    <col min="9474" max="9474" width="15.54296875" style="343" customWidth="1"/>
    <col min="9475" max="9475" width="19.453125" style="343" customWidth="1"/>
    <col min="9476" max="9476" width="13.81640625" style="343" customWidth="1"/>
    <col min="9477" max="9477" width="19.1796875" style="343" customWidth="1"/>
    <col min="9478" max="9478" width="14.81640625" style="343" customWidth="1"/>
    <col min="9479" max="9479" width="19.81640625" style="343" customWidth="1"/>
    <col min="9480" max="9480" width="14.54296875" style="343" customWidth="1"/>
    <col min="9481" max="9481" width="12.453125" style="343" bestFit="1" customWidth="1"/>
    <col min="9482" max="9727" width="9.1796875" style="343"/>
    <col min="9728" max="9728" width="90.1796875" style="343" customWidth="1"/>
    <col min="9729" max="9729" width="18" style="343" customWidth="1"/>
    <col min="9730" max="9730" width="15.54296875" style="343" customWidth="1"/>
    <col min="9731" max="9731" width="19.453125" style="343" customWidth="1"/>
    <col min="9732" max="9732" width="13.81640625" style="343" customWidth="1"/>
    <col min="9733" max="9733" width="19.1796875" style="343" customWidth="1"/>
    <col min="9734" max="9734" width="14.81640625" style="343" customWidth="1"/>
    <col min="9735" max="9735" width="19.81640625" style="343" customWidth="1"/>
    <col min="9736" max="9736" width="14.54296875" style="343" customWidth="1"/>
    <col min="9737" max="9737" width="12.453125" style="343" bestFit="1" customWidth="1"/>
    <col min="9738" max="9983" width="9.1796875" style="343"/>
    <col min="9984" max="9984" width="90.1796875" style="343" customWidth="1"/>
    <col min="9985" max="9985" width="18" style="343" customWidth="1"/>
    <col min="9986" max="9986" width="15.54296875" style="343" customWidth="1"/>
    <col min="9987" max="9987" width="19.453125" style="343" customWidth="1"/>
    <col min="9988" max="9988" width="13.81640625" style="343" customWidth="1"/>
    <col min="9989" max="9989" width="19.1796875" style="343" customWidth="1"/>
    <col min="9990" max="9990" width="14.81640625" style="343" customWidth="1"/>
    <col min="9991" max="9991" width="19.81640625" style="343" customWidth="1"/>
    <col min="9992" max="9992" width="14.54296875" style="343" customWidth="1"/>
    <col min="9993" max="9993" width="12.453125" style="343" bestFit="1" customWidth="1"/>
    <col min="9994" max="10239" width="9.1796875" style="343"/>
    <col min="10240" max="10240" width="90.1796875" style="343" customWidth="1"/>
    <col min="10241" max="10241" width="18" style="343" customWidth="1"/>
    <col min="10242" max="10242" width="15.54296875" style="343" customWidth="1"/>
    <col min="10243" max="10243" width="19.453125" style="343" customWidth="1"/>
    <col min="10244" max="10244" width="13.81640625" style="343" customWidth="1"/>
    <col min="10245" max="10245" width="19.1796875" style="343" customWidth="1"/>
    <col min="10246" max="10246" width="14.81640625" style="343" customWidth="1"/>
    <col min="10247" max="10247" width="19.81640625" style="343" customWidth="1"/>
    <col min="10248" max="10248" width="14.54296875" style="343" customWidth="1"/>
    <col min="10249" max="10249" width="12.453125" style="343" bestFit="1" customWidth="1"/>
    <col min="10250" max="10495" width="9.1796875" style="343"/>
    <col min="10496" max="10496" width="90.1796875" style="343" customWidth="1"/>
    <col min="10497" max="10497" width="18" style="343" customWidth="1"/>
    <col min="10498" max="10498" width="15.54296875" style="343" customWidth="1"/>
    <col min="10499" max="10499" width="19.453125" style="343" customWidth="1"/>
    <col min="10500" max="10500" width="13.81640625" style="343" customWidth="1"/>
    <col min="10501" max="10501" width="19.1796875" style="343" customWidth="1"/>
    <col min="10502" max="10502" width="14.81640625" style="343" customWidth="1"/>
    <col min="10503" max="10503" width="19.81640625" style="343" customWidth="1"/>
    <col min="10504" max="10504" width="14.54296875" style="343" customWidth="1"/>
    <col min="10505" max="10505" width="12.453125" style="343" bestFit="1" customWidth="1"/>
    <col min="10506" max="10751" width="9.1796875" style="343"/>
    <col min="10752" max="10752" width="90.1796875" style="343" customWidth="1"/>
    <col min="10753" max="10753" width="18" style="343" customWidth="1"/>
    <col min="10754" max="10754" width="15.54296875" style="343" customWidth="1"/>
    <col min="10755" max="10755" width="19.453125" style="343" customWidth="1"/>
    <col min="10756" max="10756" width="13.81640625" style="343" customWidth="1"/>
    <col min="10757" max="10757" width="19.1796875" style="343" customWidth="1"/>
    <col min="10758" max="10758" width="14.81640625" style="343" customWidth="1"/>
    <col min="10759" max="10759" width="19.81640625" style="343" customWidth="1"/>
    <col min="10760" max="10760" width="14.54296875" style="343" customWidth="1"/>
    <col min="10761" max="10761" width="12.453125" style="343" bestFit="1" customWidth="1"/>
    <col min="10762" max="11007" width="9.1796875" style="343"/>
    <col min="11008" max="11008" width="90.1796875" style="343" customWidth="1"/>
    <col min="11009" max="11009" width="18" style="343" customWidth="1"/>
    <col min="11010" max="11010" width="15.54296875" style="343" customWidth="1"/>
    <col min="11011" max="11011" width="19.453125" style="343" customWidth="1"/>
    <col min="11012" max="11012" width="13.81640625" style="343" customWidth="1"/>
    <col min="11013" max="11013" width="19.1796875" style="343" customWidth="1"/>
    <col min="11014" max="11014" width="14.81640625" style="343" customWidth="1"/>
    <col min="11015" max="11015" width="19.81640625" style="343" customWidth="1"/>
    <col min="11016" max="11016" width="14.54296875" style="343" customWidth="1"/>
    <col min="11017" max="11017" width="12.453125" style="343" bestFit="1" customWidth="1"/>
    <col min="11018" max="11263" width="9.1796875" style="343"/>
    <col min="11264" max="11264" width="90.1796875" style="343" customWidth="1"/>
    <col min="11265" max="11265" width="18" style="343" customWidth="1"/>
    <col min="11266" max="11266" width="15.54296875" style="343" customWidth="1"/>
    <col min="11267" max="11267" width="19.453125" style="343" customWidth="1"/>
    <col min="11268" max="11268" width="13.81640625" style="343" customWidth="1"/>
    <col min="11269" max="11269" width="19.1796875" style="343" customWidth="1"/>
    <col min="11270" max="11270" width="14.81640625" style="343" customWidth="1"/>
    <col min="11271" max="11271" width="19.81640625" style="343" customWidth="1"/>
    <col min="11272" max="11272" width="14.54296875" style="343" customWidth="1"/>
    <col min="11273" max="11273" width="12.453125" style="343" bestFit="1" customWidth="1"/>
    <col min="11274" max="11519" width="9.1796875" style="343"/>
    <col min="11520" max="11520" width="90.1796875" style="343" customWidth="1"/>
    <col min="11521" max="11521" width="18" style="343" customWidth="1"/>
    <col min="11522" max="11522" width="15.54296875" style="343" customWidth="1"/>
    <col min="11523" max="11523" width="19.453125" style="343" customWidth="1"/>
    <col min="11524" max="11524" width="13.81640625" style="343" customWidth="1"/>
    <col min="11525" max="11525" width="19.1796875" style="343" customWidth="1"/>
    <col min="11526" max="11526" width="14.81640625" style="343" customWidth="1"/>
    <col min="11527" max="11527" width="19.81640625" style="343" customWidth="1"/>
    <col min="11528" max="11528" width="14.54296875" style="343" customWidth="1"/>
    <col min="11529" max="11529" width="12.453125" style="343" bestFit="1" customWidth="1"/>
    <col min="11530" max="11775" width="9.1796875" style="343"/>
    <col min="11776" max="11776" width="90.1796875" style="343" customWidth="1"/>
    <col min="11777" max="11777" width="18" style="343" customWidth="1"/>
    <col min="11778" max="11778" width="15.54296875" style="343" customWidth="1"/>
    <col min="11779" max="11779" width="19.453125" style="343" customWidth="1"/>
    <col min="11780" max="11780" width="13.81640625" style="343" customWidth="1"/>
    <col min="11781" max="11781" width="19.1796875" style="343" customWidth="1"/>
    <col min="11782" max="11782" width="14.81640625" style="343" customWidth="1"/>
    <col min="11783" max="11783" width="19.81640625" style="343" customWidth="1"/>
    <col min="11784" max="11784" width="14.54296875" style="343" customWidth="1"/>
    <col min="11785" max="11785" width="12.453125" style="343" bestFit="1" customWidth="1"/>
    <col min="11786" max="12031" width="9.1796875" style="343"/>
    <col min="12032" max="12032" width="90.1796875" style="343" customWidth="1"/>
    <col min="12033" max="12033" width="18" style="343" customWidth="1"/>
    <col min="12034" max="12034" width="15.54296875" style="343" customWidth="1"/>
    <col min="12035" max="12035" width="19.453125" style="343" customWidth="1"/>
    <col min="12036" max="12036" width="13.81640625" style="343" customWidth="1"/>
    <col min="12037" max="12037" width="19.1796875" style="343" customWidth="1"/>
    <col min="12038" max="12038" width="14.81640625" style="343" customWidth="1"/>
    <col min="12039" max="12039" width="19.81640625" style="343" customWidth="1"/>
    <col min="12040" max="12040" width="14.54296875" style="343" customWidth="1"/>
    <col min="12041" max="12041" width="12.453125" style="343" bestFit="1" customWidth="1"/>
    <col min="12042" max="12287" width="9.1796875" style="343"/>
    <col min="12288" max="12288" width="90.1796875" style="343" customWidth="1"/>
    <col min="12289" max="12289" width="18" style="343" customWidth="1"/>
    <col min="12290" max="12290" width="15.54296875" style="343" customWidth="1"/>
    <col min="12291" max="12291" width="19.453125" style="343" customWidth="1"/>
    <col min="12292" max="12292" width="13.81640625" style="343" customWidth="1"/>
    <col min="12293" max="12293" width="19.1796875" style="343" customWidth="1"/>
    <col min="12294" max="12294" width="14.81640625" style="343" customWidth="1"/>
    <col min="12295" max="12295" width="19.81640625" style="343" customWidth="1"/>
    <col min="12296" max="12296" width="14.54296875" style="343" customWidth="1"/>
    <col min="12297" max="12297" width="12.453125" style="343" bestFit="1" customWidth="1"/>
    <col min="12298" max="12543" width="9.1796875" style="343"/>
    <col min="12544" max="12544" width="90.1796875" style="343" customWidth="1"/>
    <col min="12545" max="12545" width="18" style="343" customWidth="1"/>
    <col min="12546" max="12546" width="15.54296875" style="343" customWidth="1"/>
    <col min="12547" max="12547" width="19.453125" style="343" customWidth="1"/>
    <col min="12548" max="12548" width="13.81640625" style="343" customWidth="1"/>
    <col min="12549" max="12549" width="19.1796875" style="343" customWidth="1"/>
    <col min="12550" max="12550" width="14.81640625" style="343" customWidth="1"/>
    <col min="12551" max="12551" width="19.81640625" style="343" customWidth="1"/>
    <col min="12552" max="12552" width="14.54296875" style="343" customWidth="1"/>
    <col min="12553" max="12553" width="12.453125" style="343" bestFit="1" customWidth="1"/>
    <col min="12554" max="12799" width="9.1796875" style="343"/>
    <col min="12800" max="12800" width="90.1796875" style="343" customWidth="1"/>
    <col min="12801" max="12801" width="18" style="343" customWidth="1"/>
    <col min="12802" max="12802" width="15.54296875" style="343" customWidth="1"/>
    <col min="12803" max="12803" width="19.453125" style="343" customWidth="1"/>
    <col min="12804" max="12804" width="13.81640625" style="343" customWidth="1"/>
    <col min="12805" max="12805" width="19.1796875" style="343" customWidth="1"/>
    <col min="12806" max="12806" width="14.81640625" style="343" customWidth="1"/>
    <col min="12807" max="12807" width="19.81640625" style="343" customWidth="1"/>
    <col min="12808" max="12808" width="14.54296875" style="343" customWidth="1"/>
    <col min="12809" max="12809" width="12.453125" style="343" bestFit="1" customWidth="1"/>
    <col min="12810" max="13055" width="9.1796875" style="343"/>
    <col min="13056" max="13056" width="90.1796875" style="343" customWidth="1"/>
    <col min="13057" max="13057" width="18" style="343" customWidth="1"/>
    <col min="13058" max="13058" width="15.54296875" style="343" customWidth="1"/>
    <col min="13059" max="13059" width="19.453125" style="343" customWidth="1"/>
    <col min="13060" max="13060" width="13.81640625" style="343" customWidth="1"/>
    <col min="13061" max="13061" width="19.1796875" style="343" customWidth="1"/>
    <col min="13062" max="13062" width="14.81640625" style="343" customWidth="1"/>
    <col min="13063" max="13063" width="19.81640625" style="343" customWidth="1"/>
    <col min="13064" max="13064" width="14.54296875" style="343" customWidth="1"/>
    <col min="13065" max="13065" width="12.453125" style="343" bestFit="1" customWidth="1"/>
    <col min="13066" max="13311" width="9.1796875" style="343"/>
    <col min="13312" max="13312" width="90.1796875" style="343" customWidth="1"/>
    <col min="13313" max="13313" width="18" style="343" customWidth="1"/>
    <col min="13314" max="13314" width="15.54296875" style="343" customWidth="1"/>
    <col min="13315" max="13315" width="19.453125" style="343" customWidth="1"/>
    <col min="13316" max="13316" width="13.81640625" style="343" customWidth="1"/>
    <col min="13317" max="13317" width="19.1796875" style="343" customWidth="1"/>
    <col min="13318" max="13318" width="14.81640625" style="343" customWidth="1"/>
    <col min="13319" max="13319" width="19.81640625" style="343" customWidth="1"/>
    <col min="13320" max="13320" width="14.54296875" style="343" customWidth="1"/>
    <col min="13321" max="13321" width="12.453125" style="343" bestFit="1" customWidth="1"/>
    <col min="13322" max="13567" width="9.1796875" style="343"/>
    <col min="13568" max="13568" width="90.1796875" style="343" customWidth="1"/>
    <col min="13569" max="13569" width="18" style="343" customWidth="1"/>
    <col min="13570" max="13570" width="15.54296875" style="343" customWidth="1"/>
    <col min="13571" max="13571" width="19.453125" style="343" customWidth="1"/>
    <col min="13572" max="13572" width="13.81640625" style="343" customWidth="1"/>
    <col min="13573" max="13573" width="19.1796875" style="343" customWidth="1"/>
    <col min="13574" max="13574" width="14.81640625" style="343" customWidth="1"/>
    <col min="13575" max="13575" width="19.81640625" style="343" customWidth="1"/>
    <col min="13576" max="13576" width="14.54296875" style="343" customWidth="1"/>
    <col min="13577" max="13577" width="12.453125" style="343" bestFit="1" customWidth="1"/>
    <col min="13578" max="13823" width="9.1796875" style="343"/>
    <col min="13824" max="13824" width="90.1796875" style="343" customWidth="1"/>
    <col min="13825" max="13825" width="18" style="343" customWidth="1"/>
    <col min="13826" max="13826" width="15.54296875" style="343" customWidth="1"/>
    <col min="13827" max="13827" width="19.453125" style="343" customWidth="1"/>
    <col min="13828" max="13828" width="13.81640625" style="343" customWidth="1"/>
    <col min="13829" max="13829" width="19.1796875" style="343" customWidth="1"/>
    <col min="13830" max="13830" width="14.81640625" style="343" customWidth="1"/>
    <col min="13831" max="13831" width="19.81640625" style="343" customWidth="1"/>
    <col min="13832" max="13832" width="14.54296875" style="343" customWidth="1"/>
    <col min="13833" max="13833" width="12.453125" style="343" bestFit="1" customWidth="1"/>
    <col min="13834" max="14079" width="9.1796875" style="343"/>
    <col min="14080" max="14080" width="90.1796875" style="343" customWidth="1"/>
    <col min="14081" max="14081" width="18" style="343" customWidth="1"/>
    <col min="14082" max="14082" width="15.54296875" style="343" customWidth="1"/>
    <col min="14083" max="14083" width="19.453125" style="343" customWidth="1"/>
    <col min="14084" max="14084" width="13.81640625" style="343" customWidth="1"/>
    <col min="14085" max="14085" width="19.1796875" style="343" customWidth="1"/>
    <col min="14086" max="14086" width="14.81640625" style="343" customWidth="1"/>
    <col min="14087" max="14087" width="19.81640625" style="343" customWidth="1"/>
    <col min="14088" max="14088" width="14.54296875" style="343" customWidth="1"/>
    <col min="14089" max="14089" width="12.453125" style="343" bestFit="1" customWidth="1"/>
    <col min="14090" max="14335" width="9.1796875" style="343"/>
    <col min="14336" max="14336" width="90.1796875" style="343" customWidth="1"/>
    <col min="14337" max="14337" width="18" style="343" customWidth="1"/>
    <col min="14338" max="14338" width="15.54296875" style="343" customWidth="1"/>
    <col min="14339" max="14339" width="19.453125" style="343" customWidth="1"/>
    <col min="14340" max="14340" width="13.81640625" style="343" customWidth="1"/>
    <col min="14341" max="14341" width="19.1796875" style="343" customWidth="1"/>
    <col min="14342" max="14342" width="14.81640625" style="343" customWidth="1"/>
    <col min="14343" max="14343" width="19.81640625" style="343" customWidth="1"/>
    <col min="14344" max="14344" width="14.54296875" style="343" customWidth="1"/>
    <col min="14345" max="14345" width="12.453125" style="343" bestFit="1" customWidth="1"/>
    <col min="14346" max="14591" width="9.1796875" style="343"/>
    <col min="14592" max="14592" width="90.1796875" style="343" customWidth="1"/>
    <col min="14593" max="14593" width="18" style="343" customWidth="1"/>
    <col min="14594" max="14594" width="15.54296875" style="343" customWidth="1"/>
    <col min="14595" max="14595" width="19.453125" style="343" customWidth="1"/>
    <col min="14596" max="14596" width="13.81640625" style="343" customWidth="1"/>
    <col min="14597" max="14597" width="19.1796875" style="343" customWidth="1"/>
    <col min="14598" max="14598" width="14.81640625" style="343" customWidth="1"/>
    <col min="14599" max="14599" width="19.81640625" style="343" customWidth="1"/>
    <col min="14600" max="14600" width="14.54296875" style="343" customWidth="1"/>
    <col min="14601" max="14601" width="12.453125" style="343" bestFit="1" customWidth="1"/>
    <col min="14602" max="14847" width="9.1796875" style="343"/>
    <col min="14848" max="14848" width="90.1796875" style="343" customWidth="1"/>
    <col min="14849" max="14849" width="18" style="343" customWidth="1"/>
    <col min="14850" max="14850" width="15.54296875" style="343" customWidth="1"/>
    <col min="14851" max="14851" width="19.453125" style="343" customWidth="1"/>
    <col min="14852" max="14852" width="13.81640625" style="343" customWidth="1"/>
    <col min="14853" max="14853" width="19.1796875" style="343" customWidth="1"/>
    <col min="14854" max="14854" width="14.81640625" style="343" customWidth="1"/>
    <col min="14855" max="14855" width="19.81640625" style="343" customWidth="1"/>
    <col min="14856" max="14856" width="14.54296875" style="343" customWidth="1"/>
    <col min="14857" max="14857" width="12.453125" style="343" bestFit="1" customWidth="1"/>
    <col min="14858" max="15103" width="9.1796875" style="343"/>
    <col min="15104" max="15104" width="90.1796875" style="343" customWidth="1"/>
    <col min="15105" max="15105" width="18" style="343" customWidth="1"/>
    <col min="15106" max="15106" width="15.54296875" style="343" customWidth="1"/>
    <col min="15107" max="15107" width="19.453125" style="343" customWidth="1"/>
    <col min="15108" max="15108" width="13.81640625" style="343" customWidth="1"/>
    <col min="15109" max="15109" width="19.1796875" style="343" customWidth="1"/>
    <col min="15110" max="15110" width="14.81640625" style="343" customWidth="1"/>
    <col min="15111" max="15111" width="19.81640625" style="343" customWidth="1"/>
    <col min="15112" max="15112" width="14.54296875" style="343" customWidth="1"/>
    <col min="15113" max="15113" width="12.453125" style="343" bestFit="1" customWidth="1"/>
    <col min="15114" max="15359" width="9.1796875" style="343"/>
    <col min="15360" max="15360" width="90.1796875" style="343" customWidth="1"/>
    <col min="15361" max="15361" width="18" style="343" customWidth="1"/>
    <col min="15362" max="15362" width="15.54296875" style="343" customWidth="1"/>
    <col min="15363" max="15363" width="19.453125" style="343" customWidth="1"/>
    <col min="15364" max="15364" width="13.81640625" style="343" customWidth="1"/>
    <col min="15365" max="15365" width="19.1796875" style="343" customWidth="1"/>
    <col min="15366" max="15366" width="14.81640625" style="343" customWidth="1"/>
    <col min="15367" max="15367" width="19.81640625" style="343" customWidth="1"/>
    <col min="15368" max="15368" width="14.54296875" style="343" customWidth="1"/>
    <col min="15369" max="15369" width="12.453125" style="343" bestFit="1" customWidth="1"/>
    <col min="15370" max="15615" width="9.1796875" style="343"/>
    <col min="15616" max="15616" width="90.1796875" style="343" customWidth="1"/>
    <col min="15617" max="15617" width="18" style="343" customWidth="1"/>
    <col min="15618" max="15618" width="15.54296875" style="343" customWidth="1"/>
    <col min="15619" max="15619" width="19.453125" style="343" customWidth="1"/>
    <col min="15620" max="15620" width="13.81640625" style="343" customWidth="1"/>
    <col min="15621" max="15621" width="19.1796875" style="343" customWidth="1"/>
    <col min="15622" max="15622" width="14.81640625" style="343" customWidth="1"/>
    <col min="15623" max="15623" width="19.81640625" style="343" customWidth="1"/>
    <col min="15624" max="15624" width="14.54296875" style="343" customWidth="1"/>
    <col min="15625" max="15625" width="12.453125" style="343" bestFit="1" customWidth="1"/>
    <col min="15626" max="15871" width="9.1796875" style="343"/>
    <col min="15872" max="15872" width="90.1796875" style="343" customWidth="1"/>
    <col min="15873" max="15873" width="18" style="343" customWidth="1"/>
    <col min="15874" max="15874" width="15.54296875" style="343" customWidth="1"/>
    <col min="15875" max="15875" width="19.453125" style="343" customWidth="1"/>
    <col min="15876" max="15876" width="13.81640625" style="343" customWidth="1"/>
    <col min="15877" max="15877" width="19.1796875" style="343" customWidth="1"/>
    <col min="15878" max="15878" width="14.81640625" style="343" customWidth="1"/>
    <col min="15879" max="15879" width="19.81640625" style="343" customWidth="1"/>
    <col min="15880" max="15880" width="14.54296875" style="343" customWidth="1"/>
    <col min="15881" max="15881" width="12.453125" style="343" bestFit="1" customWidth="1"/>
    <col min="15882" max="16127" width="9.1796875" style="343"/>
    <col min="16128" max="16128" width="90.1796875" style="343" customWidth="1"/>
    <col min="16129" max="16129" width="18" style="343" customWidth="1"/>
    <col min="16130" max="16130" width="15.54296875" style="343" customWidth="1"/>
    <col min="16131" max="16131" width="19.453125" style="343" customWidth="1"/>
    <col min="16132" max="16132" width="13.81640625" style="343" customWidth="1"/>
    <col min="16133" max="16133" width="19.1796875" style="343" customWidth="1"/>
    <col min="16134" max="16134" width="14.81640625" style="343" customWidth="1"/>
    <col min="16135" max="16135" width="19.81640625" style="343" customWidth="1"/>
    <col min="16136" max="16136" width="14.54296875" style="343" customWidth="1"/>
    <col min="16137" max="16137" width="12.453125" style="343" bestFit="1" customWidth="1"/>
    <col min="16138" max="16381" width="9.1796875" style="343"/>
    <col min="16382" max="16384" width="9.1796875" style="343" customWidth="1"/>
  </cols>
  <sheetData>
    <row r="1" spans="1:8" x14ac:dyDescent="0.35">
      <c r="A1" s="345"/>
      <c r="B1" s="441" t="s">
        <v>785</v>
      </c>
      <c r="C1" s="441"/>
      <c r="D1" s="441"/>
      <c r="E1" s="425" t="s">
        <v>718</v>
      </c>
      <c r="F1" s="346"/>
      <c r="G1" s="346"/>
      <c r="H1" s="346"/>
    </row>
    <row r="2" spans="1:8" x14ac:dyDescent="0.35">
      <c r="A2" s="1200" t="s">
        <v>966</v>
      </c>
      <c r="B2" s="1200"/>
      <c r="C2" s="1200"/>
      <c r="D2" s="1200"/>
      <c r="E2" s="1200"/>
      <c r="F2" s="347"/>
      <c r="G2" s="347"/>
      <c r="H2" s="347"/>
    </row>
    <row r="3" spans="1:8" x14ac:dyDescent="0.35">
      <c r="A3" s="1200" t="s">
        <v>968</v>
      </c>
      <c r="B3" s="1200"/>
      <c r="C3" s="1200"/>
      <c r="D3" s="1200"/>
      <c r="E3" s="1200"/>
      <c r="F3" s="347"/>
      <c r="G3" s="347"/>
      <c r="H3" s="347"/>
    </row>
    <row r="4" spans="1:8" x14ac:dyDescent="0.35">
      <c r="A4" s="1200" t="s">
        <v>967</v>
      </c>
      <c r="B4" s="1200"/>
      <c r="C4" s="1200"/>
      <c r="D4" s="1200"/>
      <c r="E4" s="1200"/>
      <c r="F4" s="347"/>
      <c r="G4" s="347"/>
      <c r="H4" s="347"/>
    </row>
    <row r="5" spans="1:8" x14ac:dyDescent="0.35">
      <c r="A5" s="612" t="s">
        <v>328</v>
      </c>
      <c r="B5" s="345"/>
      <c r="C5" s="345"/>
      <c r="D5" s="345"/>
      <c r="E5" s="440"/>
      <c r="F5" s="346"/>
      <c r="G5" s="346"/>
      <c r="H5" s="346"/>
    </row>
    <row r="6" spans="1:8" x14ac:dyDescent="0.35">
      <c r="A6" s="345"/>
      <c r="B6" s="345"/>
      <c r="C6" s="345"/>
      <c r="D6" s="345"/>
      <c r="E6" s="346"/>
      <c r="F6" s="346"/>
      <c r="G6" s="346"/>
      <c r="H6" s="346"/>
    </row>
    <row r="7" spans="1:8" x14ac:dyDescent="0.35">
      <c r="A7" s="345"/>
      <c r="B7" s="345"/>
      <c r="C7" s="345"/>
      <c r="D7" s="345"/>
      <c r="E7" s="346"/>
      <c r="F7" s="346"/>
      <c r="G7" s="346"/>
      <c r="H7" s="346"/>
    </row>
    <row r="8" spans="1:8" x14ac:dyDescent="0.35">
      <c r="A8" s="345"/>
      <c r="B8" s="345"/>
      <c r="C8" s="345"/>
      <c r="D8" s="345"/>
      <c r="E8" s="346"/>
      <c r="F8" s="346"/>
      <c r="G8" s="346"/>
      <c r="H8" s="346"/>
    </row>
    <row r="9" spans="1:8" ht="20.149999999999999" customHeight="1" x14ac:dyDescent="0.35">
      <c r="A9" s="1198" t="s">
        <v>177</v>
      </c>
      <c r="B9" s="348">
        <v>2024</v>
      </c>
      <c r="C9" s="348">
        <v>2025</v>
      </c>
      <c r="D9" s="348">
        <v>2026</v>
      </c>
      <c r="E9" s="348">
        <v>2027</v>
      </c>
      <c r="F9" s="348"/>
      <c r="G9" s="348"/>
    </row>
    <row r="10" spans="1:8" ht="20.149999999999999" customHeight="1" x14ac:dyDescent="0.35">
      <c r="A10" s="1199"/>
      <c r="B10" s="602" t="s">
        <v>178</v>
      </c>
      <c r="C10" s="602" t="s">
        <v>178</v>
      </c>
      <c r="D10" s="602" t="s">
        <v>178</v>
      </c>
      <c r="E10" s="602" t="s">
        <v>178</v>
      </c>
      <c r="F10" s="348"/>
      <c r="G10" s="348"/>
    </row>
    <row r="11" spans="1:8" ht="20.149999999999999" customHeight="1" x14ac:dyDescent="0.4">
      <c r="A11" s="606" t="s">
        <v>650</v>
      </c>
      <c r="B11" s="604">
        <f>Mérleg!C19+Mérleg!C20+Mérleg!C21+Mérleg!C22</f>
        <v>5706000000</v>
      </c>
      <c r="C11" s="604">
        <f>'Gördülő tervezés'!C18+'Gördülő tervezés'!C19+'Gördülő tervezés'!C20+'Gördülő tervezés'!C21+'Gördülő tervezés'!C23</f>
        <v>5555030600</v>
      </c>
      <c r="D11" s="604">
        <f>'Gördülő tervezés'!D18+'Gördülő tervezés'!D19+'Gördülő tervezés'!D20+'Gördülő tervezés'!D21+'Gördülő tervezés'!D23</f>
        <v>5555030600</v>
      </c>
      <c r="E11" s="604">
        <f>'Gördülő tervezés'!E18+'Gördülő tervezés'!E19+'Gördülő tervezés'!E20+'Gördülő tervezés'!E21+'Gördülő tervezés'!E23</f>
        <v>5555030600</v>
      </c>
      <c r="F11" s="349"/>
      <c r="G11" s="349"/>
    </row>
    <row r="12" spans="1:8" ht="30" customHeight="1" x14ac:dyDescent="0.4">
      <c r="A12" s="404" t="s">
        <v>651</v>
      </c>
      <c r="B12" s="604">
        <f>Mérleg!C13+Mérleg!C16</f>
        <v>714698509</v>
      </c>
      <c r="C12" s="604">
        <f>'Gördülő tervezés'!C12</f>
        <v>300000000</v>
      </c>
      <c r="D12" s="604">
        <f>'Gördülő tervezés'!D12</f>
        <v>300000000</v>
      </c>
      <c r="E12" s="604">
        <f>'Gördülő tervezés'!E12</f>
        <v>300000000</v>
      </c>
      <c r="F12" s="349"/>
      <c r="G12" s="349"/>
    </row>
    <row r="13" spans="1:8" ht="20.149999999999999" customHeight="1" x14ac:dyDescent="0.4">
      <c r="A13" s="404" t="s">
        <v>652</v>
      </c>
      <c r="B13" s="604">
        <f>[1]Bevétel!$B$208</f>
        <v>200000000</v>
      </c>
      <c r="C13" s="604">
        <v>150000000</v>
      </c>
      <c r="D13" s="604">
        <v>150000000</v>
      </c>
      <c r="E13" s="604">
        <v>150000000</v>
      </c>
      <c r="F13" s="349"/>
      <c r="G13" s="349"/>
    </row>
    <row r="14" spans="1:8" s="405" customFormat="1" ht="31" x14ac:dyDescent="0.35">
      <c r="A14" s="404" t="s">
        <v>653</v>
      </c>
      <c r="B14" s="605">
        <v>0</v>
      </c>
      <c r="C14" s="605"/>
      <c r="D14" s="605"/>
      <c r="E14" s="605"/>
    </row>
    <row r="15" spans="1:8" ht="20.149999999999999" customHeight="1" x14ac:dyDescent="0.4">
      <c r="A15" s="607" t="s">
        <v>654</v>
      </c>
      <c r="B15" s="604">
        <f>Mérleg!C11</f>
        <v>53922844</v>
      </c>
      <c r="C15" s="604">
        <f>'Gördülő tervezés'!C10</f>
        <v>54000000</v>
      </c>
      <c r="D15" s="604">
        <f>'Gördülő tervezés'!D10</f>
        <v>54000000</v>
      </c>
      <c r="E15" s="604">
        <f>'Gördülő tervezés'!E10</f>
        <v>54000000</v>
      </c>
      <c r="F15" s="349"/>
      <c r="G15" s="349"/>
    </row>
    <row r="16" spans="1:8" ht="20.149999999999999" customHeight="1" x14ac:dyDescent="0.4">
      <c r="A16" s="608" t="s">
        <v>649</v>
      </c>
      <c r="B16" s="604">
        <v>0</v>
      </c>
      <c r="C16" s="604">
        <v>0</v>
      </c>
      <c r="D16" s="604">
        <v>0</v>
      </c>
      <c r="E16" s="604">
        <v>0</v>
      </c>
      <c r="F16" s="349"/>
      <c r="G16" s="349"/>
    </row>
    <row r="17" spans="1:7" ht="20.149999999999999" customHeight="1" x14ac:dyDescent="0.35">
      <c r="A17" s="344" t="s">
        <v>179</v>
      </c>
      <c r="B17" s="603">
        <f t="shared" ref="B17" si="0">SUM(B11:B16)</f>
        <v>6674621353</v>
      </c>
      <c r="C17" s="601">
        <f>SUM(C11:C16)</f>
        <v>6059030600</v>
      </c>
      <c r="D17" s="601">
        <f t="shared" ref="D17:E17" si="1">SUM(D11:D16)</f>
        <v>6059030600</v>
      </c>
      <c r="E17" s="601">
        <f t="shared" si="1"/>
        <v>6059030600</v>
      </c>
      <c r="F17" s="350"/>
      <c r="G17" s="350"/>
    </row>
    <row r="18" spans="1:7" ht="20.149999999999999" customHeight="1" x14ac:dyDescent="0.35">
      <c r="A18" s="344" t="s">
        <v>180</v>
      </c>
      <c r="B18" s="603">
        <f t="shared" ref="B18:E18" si="2">B17/2</f>
        <v>3337310676.5</v>
      </c>
      <c r="C18" s="603">
        <f t="shared" si="2"/>
        <v>3029515300</v>
      </c>
      <c r="D18" s="603">
        <f t="shared" si="2"/>
        <v>3029515300</v>
      </c>
      <c r="E18" s="603">
        <f t="shared" si="2"/>
        <v>3029515300</v>
      </c>
      <c r="F18" s="350"/>
      <c r="G18" s="350"/>
    </row>
    <row r="24" spans="1:7" ht="48.65" customHeight="1" x14ac:dyDescent="0.35"/>
    <row r="25" spans="1:7" ht="85.5" customHeight="1" x14ac:dyDescent="0.35"/>
    <row r="26" spans="1:7" ht="62.25" customHeight="1" x14ac:dyDescent="0.35"/>
    <row r="27" spans="1:7" ht="50.5" customHeight="1" x14ac:dyDescent="0.35"/>
    <row r="28" spans="1:7" ht="47" customHeight="1" x14ac:dyDescent="0.35"/>
  </sheetData>
  <mergeCells count="4">
    <mergeCell ref="A9:A10"/>
    <mergeCell ref="A2:E2"/>
    <mergeCell ref="A3:E3"/>
    <mergeCell ref="A4:E4"/>
  </mergeCells>
  <printOptions horizontalCentered="1" verticalCentered="1"/>
  <pageMargins left="0.51181102362204722" right="0.78740157480314965" top="0.78740157480314965" bottom="0.78740157480314965" header="0.78740157480314965" footer="0.78740157480314965"/>
  <pageSetup paperSize="9" scale="55" orientation="landscape" r:id="rId1"/>
  <headerFooter alignWithMargins="0"/>
  <colBreaks count="1" manualBreakCount="1">
    <brk id="5" max="1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 tint="0.79998168889431442"/>
  </sheetPr>
  <dimension ref="A1:M44"/>
  <sheetViews>
    <sheetView zoomScaleNormal="100" workbookViewId="0">
      <selection activeCell="H48" sqref="H48"/>
    </sheetView>
  </sheetViews>
  <sheetFormatPr defaultRowHeight="12.5" x14ac:dyDescent="0.25"/>
  <cols>
    <col min="1" max="1" width="21.1796875" customWidth="1"/>
    <col min="2" max="2" width="9.1796875" customWidth="1"/>
    <col min="3" max="3" width="10" customWidth="1"/>
    <col min="4" max="4" width="14.81640625" customWidth="1"/>
  </cols>
  <sheetData>
    <row r="1" spans="1:13" ht="13" x14ac:dyDescent="0.3">
      <c r="A1" s="919" t="s">
        <v>406</v>
      </c>
      <c r="B1" s="919"/>
      <c r="C1" s="919"/>
      <c r="D1" s="919"/>
      <c r="E1" s="919"/>
      <c r="F1" s="919"/>
      <c r="G1" s="919"/>
      <c r="H1" s="919"/>
      <c r="I1" s="919"/>
      <c r="J1" s="8"/>
      <c r="K1" s="8"/>
      <c r="L1" s="8"/>
      <c r="M1" s="8"/>
    </row>
    <row r="2" spans="1:13" ht="13" x14ac:dyDescent="0.3">
      <c r="A2" s="919" t="s">
        <v>330</v>
      </c>
      <c r="B2" s="919"/>
      <c r="C2" s="919"/>
      <c r="D2" s="919"/>
      <c r="E2" s="919"/>
      <c r="F2" s="919"/>
      <c r="G2" s="919"/>
      <c r="H2" s="919"/>
      <c r="I2" s="919"/>
      <c r="J2" s="8"/>
      <c r="K2" s="8"/>
      <c r="L2" s="8"/>
      <c r="M2" s="8"/>
    </row>
    <row r="3" spans="1:13" ht="13" x14ac:dyDescent="0.3">
      <c r="A3" s="919"/>
      <c r="B3" s="919"/>
      <c r="C3" s="919"/>
      <c r="D3" s="919"/>
      <c r="E3" s="8"/>
      <c r="F3" s="8"/>
      <c r="G3" s="8"/>
      <c r="H3" s="8"/>
      <c r="I3" s="8" t="s">
        <v>719</v>
      </c>
      <c r="J3" s="8"/>
      <c r="K3" s="8"/>
      <c r="L3" s="8"/>
      <c r="M3" s="8"/>
    </row>
    <row r="4" spans="1:13" ht="13" x14ac:dyDescent="0.3">
      <c r="A4" s="919"/>
      <c r="B4" s="919"/>
      <c r="C4" s="919"/>
      <c r="D4" s="919"/>
      <c r="E4" s="8"/>
      <c r="F4" s="8"/>
      <c r="G4" s="8"/>
      <c r="H4" s="8"/>
      <c r="I4" s="8"/>
      <c r="J4" s="8"/>
      <c r="K4" s="8"/>
      <c r="L4" s="8"/>
      <c r="M4" s="8"/>
    </row>
    <row r="5" spans="1:13" ht="13" x14ac:dyDescent="0.3">
      <c r="A5" s="919"/>
      <c r="B5" s="919"/>
      <c r="C5" s="919"/>
      <c r="D5" s="919"/>
      <c r="E5" s="8"/>
      <c r="F5" s="8"/>
      <c r="G5" s="8"/>
      <c r="H5" s="8"/>
      <c r="I5" s="8"/>
      <c r="J5" s="8"/>
      <c r="K5" s="8"/>
      <c r="L5" s="8"/>
      <c r="M5" s="8"/>
    </row>
    <row r="6" spans="1:13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13" x14ac:dyDescent="0.3">
      <c r="A7" s="8"/>
      <c r="B7" s="8"/>
      <c r="C7" s="1202" t="s">
        <v>700</v>
      </c>
      <c r="D7" s="1202"/>
      <c r="E7" s="1202"/>
      <c r="F7" s="1202"/>
      <c r="G7" s="1202"/>
      <c r="H7" s="1202"/>
      <c r="I7" s="8"/>
      <c r="J7" s="8"/>
      <c r="K7" s="8"/>
      <c r="L7" s="8"/>
      <c r="M7" s="8"/>
    </row>
    <row r="8" spans="1:13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x14ac:dyDescent="0.25">
      <c r="A10" s="8" t="s">
        <v>953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41.25" customHeight="1" x14ac:dyDescent="0.25">
      <c r="A12" s="1201"/>
      <c r="B12" s="1201"/>
      <c r="C12" s="1201"/>
      <c r="D12" s="1201"/>
      <c r="E12" s="1201"/>
      <c r="F12" s="1201"/>
      <c r="G12" s="1201"/>
      <c r="H12" s="1201"/>
      <c r="I12" s="1201"/>
      <c r="J12" s="8"/>
      <c r="K12" s="8"/>
      <c r="L12" s="8"/>
      <c r="M12" s="8"/>
    </row>
    <row r="13" spans="1:13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1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</sheetData>
  <mergeCells count="7">
    <mergeCell ref="A12:I12"/>
    <mergeCell ref="A1:I1"/>
    <mergeCell ref="A2:I2"/>
    <mergeCell ref="C7:H7"/>
    <mergeCell ref="A4:D4"/>
    <mergeCell ref="A5:D5"/>
    <mergeCell ref="A3:D3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Z47"/>
  <sheetViews>
    <sheetView zoomScaleNormal="100" workbookViewId="0">
      <selection activeCell="A41" sqref="A41"/>
    </sheetView>
  </sheetViews>
  <sheetFormatPr defaultRowHeight="12.5" x14ac:dyDescent="0.25"/>
  <cols>
    <col min="1" max="1" width="11.1796875" customWidth="1"/>
    <col min="2" max="2" width="30.81640625" customWidth="1"/>
    <col min="3" max="3" width="15.54296875" customWidth="1"/>
    <col min="4" max="4" width="16" customWidth="1"/>
    <col min="5" max="8" width="14.81640625" customWidth="1"/>
    <col min="9" max="9" width="2.81640625" customWidth="1"/>
    <col min="10" max="10" width="13.81640625" customWidth="1"/>
    <col min="11" max="11" width="32.81640625" customWidth="1"/>
    <col min="12" max="12" width="16.54296875" customWidth="1"/>
    <col min="13" max="13" width="15.453125" customWidth="1"/>
    <col min="14" max="17" width="15" customWidth="1"/>
    <col min="18" max="18" width="2.453125" customWidth="1"/>
    <col min="19" max="19" width="32.1796875" customWidth="1"/>
    <col min="20" max="21" width="15.54296875" customWidth="1"/>
    <col min="22" max="22" width="2.1796875" customWidth="1"/>
    <col min="23" max="23" width="30.1796875" style="4" customWidth="1"/>
    <col min="24" max="24" width="15.81640625" style="4" customWidth="1"/>
    <col min="25" max="26" width="12.81640625" bestFit="1" customWidth="1"/>
  </cols>
  <sheetData>
    <row r="1" spans="1:26" ht="13" x14ac:dyDescent="0.3">
      <c r="B1" s="3" t="s">
        <v>1115</v>
      </c>
      <c r="N1" t="s">
        <v>421</v>
      </c>
      <c r="S1" s="3" t="s">
        <v>1116</v>
      </c>
      <c r="Z1" t="s">
        <v>701</v>
      </c>
    </row>
    <row r="2" spans="1:26" ht="13" x14ac:dyDescent="0.3">
      <c r="X2" s="72" t="s">
        <v>465</v>
      </c>
    </row>
    <row r="3" spans="1:26" ht="13" x14ac:dyDescent="0.3">
      <c r="B3" s="3" t="s">
        <v>316</v>
      </c>
      <c r="K3" s="919" t="s">
        <v>697</v>
      </c>
      <c r="L3" s="919"/>
      <c r="M3" s="68"/>
      <c r="N3" s="68"/>
      <c r="O3" s="643"/>
      <c r="P3" s="643"/>
      <c r="Q3" s="643"/>
      <c r="S3" s="3" t="s">
        <v>87</v>
      </c>
      <c r="W3" s="72" t="s">
        <v>88</v>
      </c>
    </row>
    <row r="4" spans="1:26" ht="13" thickBot="1" x14ac:dyDescent="0.3">
      <c r="D4" s="920" t="s">
        <v>98</v>
      </c>
      <c r="E4" s="920"/>
      <c r="F4" s="644"/>
      <c r="G4" s="918" t="s">
        <v>986</v>
      </c>
      <c r="H4" s="918"/>
      <c r="I4" s="143"/>
      <c r="M4" s="920" t="s">
        <v>98</v>
      </c>
      <c r="N4" s="920"/>
      <c r="O4" s="644"/>
      <c r="P4" s="917" t="s">
        <v>986</v>
      </c>
      <c r="Q4" s="918"/>
    </row>
    <row r="5" spans="1:26" ht="26" thickBot="1" x14ac:dyDescent="0.35">
      <c r="A5" s="142" t="s">
        <v>202</v>
      </c>
      <c r="B5" s="5" t="s">
        <v>20</v>
      </c>
      <c r="C5" s="6" t="s">
        <v>74</v>
      </c>
      <c r="D5" s="638" t="s">
        <v>96</v>
      </c>
      <c r="E5" s="638" t="s">
        <v>97</v>
      </c>
      <c r="F5" s="827" t="s">
        <v>985</v>
      </c>
      <c r="G5" s="828" t="s">
        <v>96</v>
      </c>
      <c r="H5" s="828" t="s">
        <v>97</v>
      </c>
      <c r="I5" s="163"/>
      <c r="J5" s="142" t="s">
        <v>202</v>
      </c>
      <c r="K5" s="139" t="s">
        <v>21</v>
      </c>
      <c r="L5" s="6" t="s">
        <v>74</v>
      </c>
      <c r="M5" s="80" t="s">
        <v>96</v>
      </c>
      <c r="N5" s="638" t="s">
        <v>97</v>
      </c>
      <c r="O5" s="585" t="s">
        <v>985</v>
      </c>
      <c r="P5" s="833" t="s">
        <v>96</v>
      </c>
      <c r="Q5" s="828" t="s">
        <v>97</v>
      </c>
      <c r="S5" s="5" t="s">
        <v>20</v>
      </c>
      <c r="T5" s="655" t="s">
        <v>984</v>
      </c>
      <c r="U5" s="842" t="s">
        <v>987</v>
      </c>
      <c r="W5" s="5" t="s">
        <v>20</v>
      </c>
      <c r="X5" s="655" t="s">
        <v>984</v>
      </c>
      <c r="Y5" s="842" t="s">
        <v>987</v>
      </c>
    </row>
    <row r="6" spans="1:26" ht="13" thickBot="1" x14ac:dyDescent="0.3">
      <c r="A6" s="7" t="s">
        <v>203</v>
      </c>
      <c r="B6" s="7" t="s">
        <v>22</v>
      </c>
      <c r="C6" s="92">
        <f>'Működési bevételek'!E38+'Működési bevételek'!E71+'Működési bevételek'!E87+'Működési bevételek'!E97</f>
        <v>1950217193</v>
      </c>
      <c r="D6" s="639">
        <f>C6-E6</f>
        <v>1718248539</v>
      </c>
      <c r="E6" s="639">
        <f>'Működési bevételek'!E26+'Működési bevételek'!E32</f>
        <v>231968654</v>
      </c>
      <c r="F6" s="92">
        <f>'Működési bevételek'!E39+'Működési bevételek'!E149</f>
        <v>1954814448</v>
      </c>
      <c r="G6" s="639">
        <f>F6-H6</f>
        <v>1713955794</v>
      </c>
      <c r="H6" s="639">
        <f>'Működési bevételek'!E25+'Működési bevételek'!E27+'Működési bevételek'!E33+'Működési bevételek'!E35</f>
        <v>240858654</v>
      </c>
      <c r="I6" s="95"/>
      <c r="J6" s="7" t="s">
        <v>236</v>
      </c>
      <c r="K6" s="140" t="s">
        <v>23</v>
      </c>
      <c r="L6" s="44">
        <f>'Működési kiadások'!M38-2</f>
        <v>4014094934</v>
      </c>
      <c r="M6" s="641">
        <f>L6-N6</f>
        <v>3508287865</v>
      </c>
      <c r="N6" s="77">
        <f>'Működési kiadások'!M40</f>
        <v>505807069</v>
      </c>
      <c r="O6" s="834">
        <f>'Működési kiadások'!M41</f>
        <v>4230930135</v>
      </c>
      <c r="P6" s="835">
        <f>O6-Q6</f>
        <v>3711999845</v>
      </c>
      <c r="Q6" s="639">
        <f>'Működési kiadások'!M25+'Működési kiadások'!M27+'Működési kiadások'!M33+'Működési kiadások'!M35</f>
        <v>518930290</v>
      </c>
      <c r="R6" s="8"/>
      <c r="S6" s="7" t="s">
        <v>22</v>
      </c>
      <c r="T6" s="9">
        <f t="shared" ref="T6:T9" si="0">C6</f>
        <v>1950217193</v>
      </c>
      <c r="U6" s="92">
        <f>F6</f>
        <v>1954814448</v>
      </c>
      <c r="V6" s="73"/>
      <c r="W6" s="10" t="s">
        <v>24</v>
      </c>
      <c r="X6" s="71">
        <f t="shared" ref="X6:X8" si="1">C13</f>
        <v>680098509</v>
      </c>
      <c r="Y6" s="91">
        <f>F13</f>
        <v>680098509</v>
      </c>
    </row>
    <row r="7" spans="1:26" ht="25.5" thickBot="1" x14ac:dyDescent="0.3">
      <c r="A7" s="7" t="s">
        <v>204</v>
      </c>
      <c r="B7" s="7" t="s">
        <v>25</v>
      </c>
      <c r="C7" s="92">
        <f>'Működési bevételek'!H38+'Működési bevételek'!H71+'Működési bevételek'!H87+'Működési bevételek'!H97</f>
        <v>504057411</v>
      </c>
      <c r="D7" s="92">
        <f>C7-E7</f>
        <v>320616963</v>
      </c>
      <c r="E7" s="92">
        <f>'Működési bevételek'!H57</f>
        <v>183440448</v>
      </c>
      <c r="F7" s="92">
        <f>'Működési bevételek'!H39+'Működési bevételek'!H149</f>
        <v>483541712</v>
      </c>
      <c r="G7" s="92">
        <f>F7-H7</f>
        <v>300101264</v>
      </c>
      <c r="H7" s="92">
        <f>'Működési bevételek'!H58</f>
        <v>183440448</v>
      </c>
      <c r="I7" s="95"/>
      <c r="J7" s="7" t="s">
        <v>236</v>
      </c>
      <c r="K7" s="264" t="s">
        <v>506</v>
      </c>
      <c r="L7" s="44">
        <f>'Működési kiadások'!M169+'Működési kiadások'!M197+'Működési kiadások'!M216-L12-L13-5</f>
        <v>7787288928</v>
      </c>
      <c r="M7" s="641">
        <f>L7-N7</f>
        <v>7002483586</v>
      </c>
      <c r="N7" s="70">
        <f>'Működési kiadások'!M199+'Működési kiadások'!M171</f>
        <v>784805342</v>
      </c>
      <c r="O7" s="834">
        <f>'Működési kiadások'!M391-Mérleg!O12-Mérleg!O13</f>
        <v>7912889532</v>
      </c>
      <c r="P7" s="835">
        <f>O7-Q7</f>
        <v>7133336116</v>
      </c>
      <c r="Q7" s="69">
        <f>'Működési kiadások'!M393</f>
        <v>779553416</v>
      </c>
      <c r="R7" s="8"/>
      <c r="S7" s="7" t="s">
        <v>25</v>
      </c>
      <c r="T7" s="9">
        <f t="shared" si="0"/>
        <v>504057411</v>
      </c>
      <c r="U7" s="92">
        <f>F7</f>
        <v>483541712</v>
      </c>
      <c r="V7" s="73"/>
      <c r="W7" s="7" t="s">
        <v>26</v>
      </c>
      <c r="X7" s="9">
        <f t="shared" si="1"/>
        <v>1819429375</v>
      </c>
      <c r="Y7" s="92">
        <f>F14</f>
        <v>1819429375</v>
      </c>
    </row>
    <row r="8" spans="1:26" ht="26" thickBot="1" x14ac:dyDescent="0.35">
      <c r="A8" s="7" t="s">
        <v>262</v>
      </c>
      <c r="B8" s="131" t="s">
        <v>380</v>
      </c>
      <c r="C8" s="92">
        <f>'Működési bevételek'!I38+'Működési bevételek'!I71+'Működési bevételek'!I87+'Működési bevételek'!I97</f>
        <v>8088100</v>
      </c>
      <c r="D8" s="92">
        <v>0</v>
      </c>
      <c r="E8" s="92">
        <f>C8</f>
        <v>8088100</v>
      </c>
      <c r="F8" s="92">
        <f>'Működési bevételek'!I39+'Működési bevételek'!I149</f>
        <v>8088100</v>
      </c>
      <c r="G8" s="92">
        <v>0</v>
      </c>
      <c r="H8" s="92">
        <f>F8</f>
        <v>8088100</v>
      </c>
      <c r="I8" s="95"/>
      <c r="J8" s="7"/>
      <c r="K8" s="139" t="s">
        <v>28</v>
      </c>
      <c r="L8" s="43">
        <f>L6+L7</f>
        <v>11801383862</v>
      </c>
      <c r="M8" s="43">
        <f>SUM(M6:M7)</f>
        <v>10510771451</v>
      </c>
      <c r="N8" s="11">
        <f>SUM(N6:N7)</f>
        <v>1290612411</v>
      </c>
      <c r="O8" s="42">
        <f>O6+O7</f>
        <v>12143819667</v>
      </c>
      <c r="P8" s="42">
        <f>SUM(P6:P7)</f>
        <v>10845335961</v>
      </c>
      <c r="Q8" s="12">
        <f>SUM(Q6:Q7)</f>
        <v>1298483706</v>
      </c>
      <c r="R8" s="8"/>
      <c r="S8" s="7" t="s">
        <v>27</v>
      </c>
      <c r="T8" s="9">
        <f t="shared" si="0"/>
        <v>8088100</v>
      </c>
      <c r="U8" s="92">
        <f>F8</f>
        <v>8088100</v>
      </c>
      <c r="V8" s="73"/>
      <c r="W8" s="7" t="s">
        <v>29</v>
      </c>
      <c r="X8" s="9">
        <f t="shared" si="1"/>
        <v>2340000</v>
      </c>
      <c r="Y8" s="92">
        <f>F15</f>
        <v>2340000</v>
      </c>
    </row>
    <row r="9" spans="1:26" ht="13.5" thickBot="1" x14ac:dyDescent="0.35">
      <c r="A9" s="7" t="s">
        <v>205</v>
      </c>
      <c r="B9" s="7" t="s">
        <v>200</v>
      </c>
      <c r="C9" s="92">
        <f>'Működési bevételek'!F71</f>
        <v>3812798896</v>
      </c>
      <c r="D9" s="92">
        <f>C9</f>
        <v>3812798896</v>
      </c>
      <c r="E9" s="92">
        <f>C9-D9</f>
        <v>0</v>
      </c>
      <c r="F9" s="92">
        <f>'Működési bevételek'!F120</f>
        <v>3963710276</v>
      </c>
      <c r="G9" s="92">
        <f>F9</f>
        <v>3963710276</v>
      </c>
      <c r="H9" s="92">
        <f>F9-G9</f>
        <v>0</v>
      </c>
      <c r="I9" s="95"/>
      <c r="J9" s="17" t="s">
        <v>237</v>
      </c>
      <c r="K9" s="139" t="s">
        <v>15</v>
      </c>
      <c r="L9" s="42">
        <f>'Felhalmozási kiadások'!I105</f>
        <v>4245269919</v>
      </c>
      <c r="M9" s="42">
        <f>L9-N9</f>
        <v>1686587505</v>
      </c>
      <c r="N9" s="12">
        <f>'Felhalmozási kiadások'!I107</f>
        <v>2558682414</v>
      </c>
      <c r="O9" s="42">
        <f>'Felhalmozási kiadások'!I109</f>
        <v>4875545312</v>
      </c>
      <c r="P9" s="42">
        <f>O9-Q9</f>
        <v>2248745398</v>
      </c>
      <c r="Q9" s="12">
        <f>'Felhalmozási kiadások'!I111</f>
        <v>2626799914</v>
      </c>
      <c r="R9" s="8"/>
      <c r="S9" s="7" t="s">
        <v>200</v>
      </c>
      <c r="T9" s="9">
        <f t="shared" si="0"/>
        <v>3812798896</v>
      </c>
      <c r="U9" s="92">
        <f>F9</f>
        <v>3963710276</v>
      </c>
      <c r="V9" s="73"/>
      <c r="W9" s="13" t="s">
        <v>188</v>
      </c>
      <c r="X9" s="70">
        <f>248900000-34600000+80000000</f>
        <v>294300000</v>
      </c>
      <c r="Y9" s="69">
        <f>F19-U14</f>
        <v>86857131</v>
      </c>
    </row>
    <row r="10" spans="1:26" ht="13" thickBot="1" x14ac:dyDescent="0.3">
      <c r="A10" s="86"/>
      <c r="B10" s="13"/>
      <c r="C10" s="69"/>
      <c r="D10" s="92"/>
      <c r="E10" s="92"/>
      <c r="F10" s="69"/>
      <c r="G10" s="92"/>
      <c r="H10" s="92"/>
      <c r="I10" s="95"/>
      <c r="J10" s="17"/>
      <c r="K10" s="140" t="s">
        <v>31</v>
      </c>
      <c r="L10" s="45"/>
      <c r="M10" s="642"/>
      <c r="N10" s="10"/>
      <c r="O10" s="836"/>
      <c r="P10" s="837"/>
      <c r="Q10" s="838"/>
      <c r="R10" s="8"/>
      <c r="S10" s="13" t="s">
        <v>283</v>
      </c>
      <c r="T10" s="70">
        <f>C30</f>
        <v>132053794</v>
      </c>
      <c r="U10" s="69">
        <f>F30</f>
        <v>132406352</v>
      </c>
      <c r="V10" s="73"/>
      <c r="W10" s="13" t="s">
        <v>30</v>
      </c>
      <c r="X10" s="70">
        <f>C16</f>
        <v>34600000</v>
      </c>
      <c r="Y10" s="69">
        <f>F16</f>
        <v>34600000</v>
      </c>
    </row>
    <row r="11" spans="1:26" ht="26" thickBot="1" x14ac:dyDescent="0.35">
      <c r="A11" s="7" t="s">
        <v>206</v>
      </c>
      <c r="B11" s="166" t="s">
        <v>201</v>
      </c>
      <c r="C11" s="93">
        <f>'Működési bevételek'!J71+'Működési bevételek'!J97-C19-C20-C21-C22-C23-C24</f>
        <v>53922844</v>
      </c>
      <c r="D11" s="93">
        <f>C11-E11</f>
        <v>40997292</v>
      </c>
      <c r="E11" s="93">
        <v>12925552</v>
      </c>
      <c r="F11" s="93">
        <f>'Működési bevételek'!J149-Mérleg!F19-Mérleg!F20-Mérleg!F21-Mérleg!F22-Mérleg!F23-Mérleg!F24</f>
        <v>53922844</v>
      </c>
      <c r="G11" s="93">
        <f>F11-H11</f>
        <v>40997292</v>
      </c>
      <c r="H11" s="93">
        <v>12925552</v>
      </c>
      <c r="I11" s="95"/>
      <c r="J11" s="17" t="s">
        <v>238</v>
      </c>
      <c r="K11" s="140" t="s">
        <v>33</v>
      </c>
      <c r="L11" s="44">
        <f>'Működési kiadások'!L109</f>
        <v>0</v>
      </c>
      <c r="M11" s="44">
        <f>L11</f>
        <v>0</v>
      </c>
      <c r="N11" s="9">
        <v>0</v>
      </c>
      <c r="O11" s="834">
        <f>'Működési kiadások'!O109</f>
        <v>0</v>
      </c>
      <c r="P11" s="834">
        <f>O11</f>
        <v>0</v>
      </c>
      <c r="Q11" s="92">
        <v>0</v>
      </c>
      <c r="R11" s="8"/>
      <c r="S11" s="14" t="s">
        <v>32</v>
      </c>
      <c r="T11" s="15">
        <f>C11</f>
        <v>53922844</v>
      </c>
      <c r="U11" s="93">
        <f>F11</f>
        <v>53922844</v>
      </c>
      <c r="V11" s="73"/>
      <c r="W11" s="5" t="s">
        <v>89</v>
      </c>
      <c r="X11" s="11">
        <f>SUM(X6:X10)</f>
        <v>2830767884</v>
      </c>
      <c r="Y11" s="12">
        <f>SUM(Y6:Y10)</f>
        <v>2623325015</v>
      </c>
    </row>
    <row r="12" spans="1:26" ht="26" thickBot="1" x14ac:dyDescent="0.35">
      <c r="A12" s="86"/>
      <c r="B12" s="5" t="s">
        <v>34</v>
      </c>
      <c r="C12" s="12">
        <f t="shared" ref="C12:H12" si="2">SUM(C6:C11)</f>
        <v>6329084444</v>
      </c>
      <c r="D12" s="12">
        <f t="shared" si="2"/>
        <v>5892661690</v>
      </c>
      <c r="E12" s="12">
        <f t="shared" si="2"/>
        <v>436422754</v>
      </c>
      <c r="F12" s="12">
        <f t="shared" si="2"/>
        <v>6464077380</v>
      </c>
      <c r="G12" s="12">
        <f t="shared" si="2"/>
        <v>6018764626</v>
      </c>
      <c r="H12" s="12">
        <f t="shared" si="2"/>
        <v>445312754</v>
      </c>
      <c r="I12" s="149"/>
      <c r="J12" s="7" t="s">
        <v>288</v>
      </c>
      <c r="K12" s="164" t="s">
        <v>289</v>
      </c>
      <c r="L12" s="312">
        <f>'Működési kiadások'!L105</f>
        <v>132053794</v>
      </c>
      <c r="M12" s="312">
        <f>L12</f>
        <v>132053794</v>
      </c>
      <c r="N12" s="70">
        <v>0</v>
      </c>
      <c r="O12" s="839">
        <f>'Működési kiadások'!L107</f>
        <v>132406352</v>
      </c>
      <c r="P12" s="839">
        <f>O12</f>
        <v>132406352</v>
      </c>
      <c r="Q12" s="69">
        <v>0</v>
      </c>
      <c r="R12" s="8"/>
      <c r="S12" s="5" t="s">
        <v>34</v>
      </c>
      <c r="T12" s="11">
        <f>SUM(T6:T11)</f>
        <v>6461138238</v>
      </c>
      <c r="U12" s="12">
        <f>SUM(U6:U11)</f>
        <v>6596483732</v>
      </c>
      <c r="V12" s="73"/>
      <c r="W12" s="352" t="s">
        <v>956</v>
      </c>
      <c r="X12" s="16">
        <f>C26</f>
        <v>27281453</v>
      </c>
      <c r="Y12" s="586">
        <f>F26</f>
        <v>27281453</v>
      </c>
    </row>
    <row r="13" spans="1:26" ht="26" thickBot="1" x14ac:dyDescent="0.35">
      <c r="A13" s="7" t="s">
        <v>263</v>
      </c>
      <c r="B13" s="383" t="s">
        <v>252</v>
      </c>
      <c r="C13" s="91">
        <f>'Felhalmozási bevételek'!E42</f>
        <v>680098509</v>
      </c>
      <c r="D13" s="91">
        <v>0</v>
      </c>
      <c r="E13" s="91">
        <f>C13-D13</f>
        <v>680098509</v>
      </c>
      <c r="F13" s="91">
        <f>'Felhalmozási bevételek'!E44</f>
        <v>680098509</v>
      </c>
      <c r="G13" s="91">
        <v>0</v>
      </c>
      <c r="H13" s="91">
        <f>F13-G13</f>
        <v>680098509</v>
      </c>
      <c r="I13" s="95"/>
      <c r="J13" s="14" t="s">
        <v>239</v>
      </c>
      <c r="K13" s="165" t="s">
        <v>36</v>
      </c>
      <c r="L13" s="147">
        <f>'[1]vegyes,NÖK,hitel,int.fin. (2)'!$C$15</f>
        <v>1580000</v>
      </c>
      <c r="M13" s="147">
        <f>L13</f>
        <v>1580000</v>
      </c>
      <c r="N13" s="16">
        <v>0</v>
      </c>
      <c r="O13" s="840">
        <f>'[1]vegyes,NÖK,hitel,int.fin. (2)'!$C$15</f>
        <v>1580000</v>
      </c>
      <c r="P13" s="840">
        <f>O13</f>
        <v>1580000</v>
      </c>
      <c r="Q13" s="586">
        <v>0</v>
      </c>
      <c r="R13" s="8"/>
      <c r="S13" s="10" t="s">
        <v>37</v>
      </c>
      <c r="T13" s="71"/>
      <c r="U13" s="91"/>
      <c r="V13" s="73"/>
      <c r="W13" s="5" t="s">
        <v>35</v>
      </c>
      <c r="X13" s="11">
        <f>SUM(X11:X12)</f>
        <v>2858049337</v>
      </c>
      <c r="Y13" s="12">
        <f>SUM(Y11:Y12)</f>
        <v>2650606468</v>
      </c>
      <c r="Z13" s="4"/>
    </row>
    <row r="14" spans="1:26" ht="13" x14ac:dyDescent="0.3">
      <c r="A14" s="7" t="s">
        <v>265</v>
      </c>
      <c r="B14" s="640" t="s">
        <v>26</v>
      </c>
      <c r="C14" s="92">
        <f>'Felhalmozási bevételek'!F42</f>
        <v>1819429375</v>
      </c>
      <c r="D14" s="92">
        <v>0</v>
      </c>
      <c r="E14" s="92">
        <f>C14-D14</f>
        <v>1819429375</v>
      </c>
      <c r="F14" s="92">
        <f>'Felhalmozási bevételek'!F44</f>
        <v>1819429375</v>
      </c>
      <c r="G14" s="92">
        <v>0</v>
      </c>
      <c r="H14" s="92">
        <f>F14-G14</f>
        <v>1819429375</v>
      </c>
      <c r="I14" s="95"/>
      <c r="J14" s="8"/>
      <c r="K14" s="150"/>
      <c r="L14" s="151"/>
      <c r="M14" s="151"/>
      <c r="N14" s="152"/>
      <c r="O14" s="151"/>
      <c r="P14" s="151"/>
      <c r="Q14" s="152"/>
      <c r="R14" s="8"/>
      <c r="S14" s="7" t="s">
        <v>38</v>
      </c>
      <c r="T14" s="9">
        <f>C19-X9</f>
        <v>4305700000</v>
      </c>
      <c r="U14" s="92">
        <v>4513142869</v>
      </c>
      <c r="V14" s="73"/>
      <c r="W14" s="7"/>
      <c r="X14" s="71"/>
      <c r="Y14" s="91"/>
      <c r="Z14" s="4"/>
    </row>
    <row r="15" spans="1:26" ht="25.5" thickBot="1" x14ac:dyDescent="0.3">
      <c r="A15" s="7" t="s">
        <v>264</v>
      </c>
      <c r="B15" s="7" t="s">
        <v>29</v>
      </c>
      <c r="C15" s="92">
        <f>'Felhalmozási bevételek'!G42</f>
        <v>2340000</v>
      </c>
      <c r="D15" s="92">
        <f>C15-E15</f>
        <v>2340000</v>
      </c>
      <c r="E15" s="92">
        <v>0</v>
      </c>
      <c r="F15" s="92">
        <f>'Felhalmozási bevételek'!G44</f>
        <v>2340000</v>
      </c>
      <c r="G15" s="92">
        <f>F15-H15</f>
        <v>2340000</v>
      </c>
      <c r="H15" s="92">
        <v>0</v>
      </c>
      <c r="I15" s="95"/>
      <c r="J15" s="8"/>
      <c r="K15" s="153"/>
      <c r="L15" s="154"/>
      <c r="M15" s="154"/>
      <c r="N15" s="155"/>
      <c r="O15" s="154"/>
      <c r="P15" s="154"/>
      <c r="Q15" s="155"/>
      <c r="R15" s="8"/>
      <c r="S15" s="7" t="s">
        <v>39</v>
      </c>
      <c r="T15" s="9">
        <f t="shared" ref="T15:U17" si="3">C20</f>
        <v>1000000000</v>
      </c>
      <c r="U15" s="92">
        <f t="shared" si="3"/>
        <v>1000000000</v>
      </c>
      <c r="V15" s="73"/>
      <c r="W15" s="131" t="s">
        <v>489</v>
      </c>
      <c r="X15" s="69">
        <v>248900000</v>
      </c>
      <c r="Y15" s="69">
        <v>248900000</v>
      </c>
    </row>
    <row r="16" spans="1:26" ht="13" thickBot="1" x14ac:dyDescent="0.3">
      <c r="A16" s="7" t="s">
        <v>263</v>
      </c>
      <c r="B16" s="13" t="s">
        <v>30</v>
      </c>
      <c r="C16" s="69">
        <f>'Felhalmozási bevételek'!H42</f>
        <v>34600000</v>
      </c>
      <c r="D16" s="69">
        <v>0</v>
      </c>
      <c r="E16" s="69">
        <f>C16</f>
        <v>34600000</v>
      </c>
      <c r="F16" s="69">
        <f>'Felhalmozási bevételek'!H44</f>
        <v>34600000</v>
      </c>
      <c r="G16" s="69">
        <v>0</v>
      </c>
      <c r="H16" s="69">
        <f>F16</f>
        <v>34600000</v>
      </c>
      <c r="I16" s="95"/>
      <c r="J16" s="8"/>
      <c r="K16" s="153"/>
      <c r="L16" s="154"/>
      <c r="M16" s="154"/>
      <c r="N16" s="155"/>
      <c r="O16" s="154"/>
      <c r="P16" s="154"/>
      <c r="Q16" s="155"/>
      <c r="R16" s="8"/>
      <c r="S16" s="7" t="s">
        <v>40</v>
      </c>
      <c r="T16" s="9">
        <f t="shared" si="3"/>
        <v>56000000</v>
      </c>
      <c r="U16" s="92">
        <f t="shared" si="3"/>
        <v>56000000</v>
      </c>
      <c r="V16" s="73"/>
      <c r="W16" s="585" t="s">
        <v>508</v>
      </c>
      <c r="X16" s="586">
        <f>X15</f>
        <v>248900000</v>
      </c>
      <c r="Y16" s="586">
        <f>Y15</f>
        <v>248900000</v>
      </c>
    </row>
    <row r="17" spans="1:26" ht="13.5" thickBot="1" x14ac:dyDescent="0.35">
      <c r="A17" s="86"/>
      <c r="B17" s="5" t="s">
        <v>41</v>
      </c>
      <c r="C17" s="12">
        <f t="shared" ref="C17:H17" si="4">SUM(C13:C16)</f>
        <v>2536467884</v>
      </c>
      <c r="D17" s="12">
        <f t="shared" si="4"/>
        <v>2340000</v>
      </c>
      <c r="E17" s="12">
        <f t="shared" si="4"/>
        <v>2534127884</v>
      </c>
      <c r="F17" s="12">
        <f t="shared" si="4"/>
        <v>2536467884</v>
      </c>
      <c r="G17" s="12">
        <f t="shared" si="4"/>
        <v>2340000</v>
      </c>
      <c r="H17" s="12">
        <f t="shared" si="4"/>
        <v>2534127884</v>
      </c>
      <c r="I17" s="149"/>
      <c r="J17" s="87"/>
      <c r="K17" s="153"/>
      <c r="L17" s="154"/>
      <c r="M17" s="154"/>
      <c r="N17" s="155"/>
      <c r="O17" s="154"/>
      <c r="P17" s="154"/>
      <c r="Q17" s="155"/>
      <c r="R17" s="8"/>
      <c r="S17" s="13" t="s">
        <v>42</v>
      </c>
      <c r="T17" s="70">
        <f t="shared" si="3"/>
        <v>50000000</v>
      </c>
      <c r="U17" s="69">
        <f t="shared" si="3"/>
        <v>50000000</v>
      </c>
      <c r="V17" s="73"/>
      <c r="W17" s="13" t="s">
        <v>463</v>
      </c>
      <c r="X17" s="586">
        <f>C25-61679418</f>
        <v>638320582</v>
      </c>
      <c r="Y17" s="586">
        <f>F25-U20</f>
        <v>853547365</v>
      </c>
    </row>
    <row r="18" spans="1:26" ht="13.5" thickBot="1" x14ac:dyDescent="0.35">
      <c r="A18" s="7" t="s">
        <v>206</v>
      </c>
      <c r="B18" s="10" t="s">
        <v>37</v>
      </c>
      <c r="C18" s="91"/>
      <c r="D18" s="91"/>
      <c r="E18" s="91"/>
      <c r="F18" s="91"/>
      <c r="G18" s="91"/>
      <c r="H18" s="91"/>
      <c r="I18" s="95"/>
      <c r="J18" s="8"/>
      <c r="K18" s="156"/>
      <c r="L18" s="154"/>
      <c r="M18" s="154"/>
      <c r="N18" s="155"/>
      <c r="O18" s="154"/>
      <c r="P18" s="154"/>
      <c r="Q18" s="155"/>
      <c r="R18" s="8"/>
      <c r="S18" s="13" t="s">
        <v>43</v>
      </c>
      <c r="T18" s="70">
        <f t="shared" ref="T18:U18" si="5">C23</f>
        <v>0</v>
      </c>
      <c r="U18" s="69">
        <f t="shared" si="5"/>
        <v>0</v>
      </c>
      <c r="V18" s="73"/>
      <c r="W18" s="587" t="s">
        <v>955</v>
      </c>
      <c r="X18" s="16">
        <f>C31</f>
        <v>500000000</v>
      </c>
      <c r="Y18" s="586">
        <f>F31</f>
        <v>1122491479</v>
      </c>
    </row>
    <row r="19" spans="1:26" ht="13.5" thickBot="1" x14ac:dyDescent="0.35">
      <c r="A19" s="7" t="s">
        <v>209</v>
      </c>
      <c r="B19" s="7" t="s">
        <v>38</v>
      </c>
      <c r="C19" s="92">
        <v>4600000000</v>
      </c>
      <c r="D19" s="92">
        <f>C19-E19</f>
        <v>4448530600</v>
      </c>
      <c r="E19" s="92">
        <f>52784400-18800000+500000+10000000+100000000+6985000</f>
        <v>151469400</v>
      </c>
      <c r="F19" s="92">
        <v>4600000000</v>
      </c>
      <c r="G19" s="92">
        <f>F19-H19</f>
        <v>4381431805</v>
      </c>
      <c r="H19" s="92">
        <v>218568195</v>
      </c>
      <c r="I19" s="95"/>
      <c r="J19" s="87"/>
      <c r="K19" s="156"/>
      <c r="L19" s="157"/>
      <c r="M19" s="157"/>
      <c r="N19" s="158"/>
      <c r="O19" s="157"/>
      <c r="P19" s="157"/>
      <c r="Q19" s="158"/>
      <c r="R19" s="8"/>
      <c r="S19" s="13" t="s">
        <v>44</v>
      </c>
      <c r="T19" s="70">
        <f>C24</f>
        <v>500000</v>
      </c>
      <c r="U19" s="69">
        <f>D24</f>
        <v>500000</v>
      </c>
      <c r="V19" s="73"/>
      <c r="W19" s="588" t="s">
        <v>90</v>
      </c>
      <c r="X19" s="589">
        <f>X13+X16+X17+X18</f>
        <v>4245269919</v>
      </c>
      <c r="Y19" s="589">
        <f>Y13+Y16+Y17+Y18</f>
        <v>4875545312</v>
      </c>
    </row>
    <row r="20" spans="1:26" ht="13.5" thickBot="1" x14ac:dyDescent="0.35">
      <c r="A20" s="7" t="s">
        <v>208</v>
      </c>
      <c r="B20" s="7" t="s">
        <v>39</v>
      </c>
      <c r="C20" s="92">
        <v>1000000000</v>
      </c>
      <c r="D20" s="92">
        <f t="shared" ref="D20:D24" si="6">C20</f>
        <v>1000000000</v>
      </c>
      <c r="E20" s="92">
        <f>C20-D20</f>
        <v>0</v>
      </c>
      <c r="F20" s="92">
        <f>[2]Bevétel!$B$113</f>
        <v>1000000000</v>
      </c>
      <c r="G20" s="92">
        <f t="shared" ref="G20:G24" si="7">F20</f>
        <v>1000000000</v>
      </c>
      <c r="H20" s="92">
        <f>F20-G20</f>
        <v>0</v>
      </c>
      <c r="I20" s="95"/>
      <c r="J20" s="87"/>
      <c r="K20" s="153"/>
      <c r="L20" s="157"/>
      <c r="M20" s="157"/>
      <c r="N20" s="158"/>
      <c r="O20" s="157"/>
      <c r="P20" s="157"/>
      <c r="Q20" s="158"/>
      <c r="R20" s="8"/>
      <c r="S20" s="138" t="s">
        <v>463</v>
      </c>
      <c r="T20" s="70">
        <f>C25-X17</f>
        <v>61679418</v>
      </c>
      <c r="U20" s="69">
        <v>61679418</v>
      </c>
      <c r="V20" s="73"/>
      <c r="W20" s="5" t="s">
        <v>21</v>
      </c>
      <c r="X20" s="16"/>
      <c r="Y20" s="586"/>
    </row>
    <row r="21" spans="1:26" ht="26" thickBot="1" x14ac:dyDescent="0.35">
      <c r="A21" s="7" t="s">
        <v>208</v>
      </c>
      <c r="B21" s="7" t="s">
        <v>40</v>
      </c>
      <c r="C21" s="92">
        <v>56000000</v>
      </c>
      <c r="D21" s="92">
        <f t="shared" si="6"/>
        <v>56000000</v>
      </c>
      <c r="E21" s="92">
        <f t="shared" ref="E21:E24" si="8">C21-D21</f>
        <v>0</v>
      </c>
      <c r="F21" s="92">
        <f>[2]Bevétel!$B$159</f>
        <v>56000000</v>
      </c>
      <c r="G21" s="92">
        <f t="shared" si="7"/>
        <v>56000000</v>
      </c>
      <c r="H21" s="92">
        <f t="shared" ref="H21:H24" si="9">F21-G21</f>
        <v>0</v>
      </c>
      <c r="I21" s="95"/>
      <c r="J21" s="87"/>
      <c r="K21" s="156"/>
      <c r="L21" s="157"/>
      <c r="M21" s="157"/>
      <c r="N21" s="158"/>
      <c r="O21" s="157"/>
      <c r="P21" s="157"/>
      <c r="Q21" s="158"/>
      <c r="R21" s="8"/>
      <c r="S21" s="166" t="s">
        <v>382</v>
      </c>
      <c r="T21" s="15">
        <v>0</v>
      </c>
      <c r="U21" s="93">
        <v>0</v>
      </c>
      <c r="V21" s="73"/>
      <c r="W21" s="5" t="s">
        <v>15</v>
      </c>
      <c r="X21" s="11">
        <f>L9</f>
        <v>4245269919</v>
      </c>
      <c r="Y21" s="12">
        <f>O9</f>
        <v>4875545312</v>
      </c>
    </row>
    <row r="22" spans="1:26" ht="26.5" thickBot="1" x14ac:dyDescent="0.35">
      <c r="A22" s="7" t="s">
        <v>208</v>
      </c>
      <c r="B22" s="13" t="s">
        <v>42</v>
      </c>
      <c r="C22" s="69">
        <v>50000000</v>
      </c>
      <c r="D22" s="92">
        <f t="shared" si="6"/>
        <v>50000000</v>
      </c>
      <c r="E22" s="92">
        <f t="shared" si="8"/>
        <v>0</v>
      </c>
      <c r="F22" s="69">
        <f>[2]Bevétel!$B$116</f>
        <v>50000000</v>
      </c>
      <c r="G22" s="92">
        <f t="shared" si="7"/>
        <v>50000000</v>
      </c>
      <c r="H22" s="92">
        <f t="shared" si="9"/>
        <v>0</v>
      </c>
      <c r="I22" s="95"/>
      <c r="J22" s="8"/>
      <c r="K22" s="156"/>
      <c r="L22" s="157"/>
      <c r="M22" s="157"/>
      <c r="N22" s="158"/>
      <c r="O22" s="157"/>
      <c r="P22" s="157"/>
      <c r="Q22" s="158"/>
      <c r="R22" s="8"/>
      <c r="S22" s="382" t="s">
        <v>765</v>
      </c>
      <c r="T22" s="76">
        <f>C28-X15</f>
        <v>0</v>
      </c>
      <c r="U22" s="843">
        <v>0</v>
      </c>
      <c r="V22" s="73"/>
      <c r="W22" s="7" t="s">
        <v>31</v>
      </c>
      <c r="X22" s="7"/>
      <c r="Y22" s="17"/>
    </row>
    <row r="23" spans="1:26" ht="13.5" thickBot="1" x14ac:dyDescent="0.35">
      <c r="A23" s="7" t="s">
        <v>210</v>
      </c>
      <c r="B23" s="13" t="s">
        <v>43</v>
      </c>
      <c r="C23" s="69">
        <v>0</v>
      </c>
      <c r="D23" s="92">
        <f t="shared" si="6"/>
        <v>0</v>
      </c>
      <c r="E23" s="92">
        <f t="shared" si="8"/>
        <v>0</v>
      </c>
      <c r="F23" s="69">
        <v>0</v>
      </c>
      <c r="G23" s="92">
        <f t="shared" si="7"/>
        <v>0</v>
      </c>
      <c r="H23" s="92">
        <f t="shared" si="9"/>
        <v>0</v>
      </c>
      <c r="I23" s="95"/>
      <c r="J23" s="8"/>
      <c r="K23" s="153"/>
      <c r="L23" s="154"/>
      <c r="M23" s="154"/>
      <c r="N23" s="155"/>
      <c r="O23" s="154"/>
      <c r="P23" s="154"/>
      <c r="Q23" s="155"/>
      <c r="R23" s="8"/>
      <c r="S23" s="5" t="s">
        <v>35</v>
      </c>
      <c r="T23" s="11">
        <f>SUM(T12:T22)</f>
        <v>11935017656</v>
      </c>
      <c r="U23" s="12">
        <f>SUM(U12:U22)</f>
        <v>12277806019</v>
      </c>
      <c r="V23" s="73"/>
      <c r="W23" s="7" t="s">
        <v>33</v>
      </c>
      <c r="X23" s="9">
        <f>L11</f>
        <v>0</v>
      </c>
      <c r="Y23" s="92">
        <f>M11</f>
        <v>0</v>
      </c>
    </row>
    <row r="24" spans="1:26" ht="13.5" thickBot="1" x14ac:dyDescent="0.35">
      <c r="A24" s="7" t="s">
        <v>211</v>
      </c>
      <c r="B24" s="13" t="s">
        <v>44</v>
      </c>
      <c r="C24" s="69">
        <v>500000</v>
      </c>
      <c r="D24" s="92">
        <f t="shared" si="6"/>
        <v>500000</v>
      </c>
      <c r="E24" s="92">
        <f t="shared" si="8"/>
        <v>0</v>
      </c>
      <c r="F24" s="69">
        <f>[2]Bevétel!$B$160</f>
        <v>500000</v>
      </c>
      <c r="G24" s="92">
        <f t="shared" si="7"/>
        <v>500000</v>
      </c>
      <c r="H24" s="92">
        <f t="shared" si="9"/>
        <v>0</v>
      </c>
      <c r="I24" s="95"/>
      <c r="J24" s="8"/>
      <c r="K24" s="153"/>
      <c r="L24" s="154"/>
      <c r="M24" s="154"/>
      <c r="N24" s="155"/>
      <c r="O24" s="154"/>
      <c r="P24" s="154"/>
      <c r="Q24" s="155"/>
      <c r="R24" s="8"/>
      <c r="S24" s="123"/>
      <c r="T24" s="75"/>
      <c r="U24" s="844"/>
      <c r="V24" s="73"/>
      <c r="W24" s="5" t="s">
        <v>91</v>
      </c>
      <c r="X24" s="11">
        <v>0</v>
      </c>
      <c r="Y24" s="12">
        <v>0</v>
      </c>
    </row>
    <row r="25" spans="1:26" ht="13.5" thickBot="1" x14ac:dyDescent="0.35">
      <c r="A25" s="7" t="s">
        <v>207</v>
      </c>
      <c r="B25" s="13" t="s">
        <v>491</v>
      </c>
      <c r="C25" s="69">
        <f>'Működési bevételek'!K63+'Felhalmozási bevételek'!K32-248900000-1</f>
        <v>700000000</v>
      </c>
      <c r="D25" s="92">
        <v>0</v>
      </c>
      <c r="E25" s="92">
        <f>126155830-2-3726000-4736139+1+595231862-12925552</f>
        <v>700000000</v>
      </c>
      <c r="F25" s="69">
        <f>'Működési bevételek'!K39+'Működési bevételek'!K88+'Működési bevételek'!K98+894856055</f>
        <v>915226783</v>
      </c>
      <c r="G25" s="92">
        <f>F25-H25</f>
        <v>215226783</v>
      </c>
      <c r="H25" s="92">
        <f>126155830-2-3726000-4736139+1+595231862-12925552</f>
        <v>700000000</v>
      </c>
      <c r="I25" s="95"/>
      <c r="J25" s="87"/>
      <c r="K25" s="153"/>
      <c r="L25" s="154"/>
      <c r="M25" s="154"/>
      <c r="N25" s="155"/>
      <c r="O25" s="154"/>
      <c r="P25" s="154"/>
      <c r="Q25" s="155"/>
      <c r="R25" s="8"/>
      <c r="S25" s="588" t="s">
        <v>90</v>
      </c>
      <c r="T25" s="589">
        <f>T23+T24</f>
        <v>11935017656</v>
      </c>
      <c r="U25" s="589">
        <f>U23+U24</f>
        <v>12277806019</v>
      </c>
      <c r="V25" s="73"/>
      <c r="W25" s="7"/>
      <c r="X25" s="70"/>
      <c r="Y25" s="69"/>
    </row>
    <row r="26" spans="1:26" ht="38.5" thickBot="1" x14ac:dyDescent="0.35">
      <c r="A26" s="7" t="s">
        <v>266</v>
      </c>
      <c r="B26" s="314" t="s">
        <v>381</v>
      </c>
      <c r="C26" s="93">
        <f>'Felhalmozási bevételek'!I42</f>
        <v>27281453</v>
      </c>
      <c r="D26" s="69">
        <f>C26-E26</f>
        <v>6666</v>
      </c>
      <c r="E26" s="69">
        <f>'Felhalmozási bevételek'!I24+'Felhalmozási bevételek'!I26</f>
        <v>27274787</v>
      </c>
      <c r="F26" s="93">
        <f>'Felhalmozási bevételek'!I44</f>
        <v>27281453</v>
      </c>
      <c r="G26" s="69">
        <f>F26-H26</f>
        <v>6666</v>
      </c>
      <c r="H26" s="69">
        <f>'Felhalmozási bevételek'!L24+'Felhalmozási bevételek'!L26</f>
        <v>27274787</v>
      </c>
      <c r="I26" s="95"/>
      <c r="J26" s="8"/>
      <c r="K26" s="153"/>
      <c r="L26" s="154"/>
      <c r="M26" s="154"/>
      <c r="N26" s="155"/>
      <c r="O26" s="154"/>
      <c r="P26" s="154"/>
      <c r="Q26" s="155"/>
      <c r="R26" s="8"/>
      <c r="S26" s="18" t="s">
        <v>21</v>
      </c>
      <c r="T26" s="76"/>
      <c r="U26" s="843"/>
      <c r="V26" s="73"/>
      <c r="W26" s="588" t="s">
        <v>92</v>
      </c>
      <c r="X26" s="589">
        <f>X21+X23+X24</f>
        <v>4245269919</v>
      </c>
      <c r="Y26" s="589">
        <f>Y21+Y23+Y24</f>
        <v>4875545312</v>
      </c>
      <c r="Z26" s="4"/>
    </row>
    <row r="27" spans="1:26" ht="13.5" thickBot="1" x14ac:dyDescent="0.35">
      <c r="A27" s="86"/>
      <c r="B27" s="5" t="s">
        <v>35</v>
      </c>
      <c r="C27" s="12">
        <f>C26+C25+C24+C23+C22+C21+C20+C19+C17+C12</f>
        <v>15299333781</v>
      </c>
      <c r="D27" s="12">
        <f>D12+D17+D19+D20+D21+D22+D23+D24+D25+D26</f>
        <v>11450038956</v>
      </c>
      <c r="E27" s="12">
        <f>E12+E17+E19+E20+E21+E22+E23+E24+E25+E26</f>
        <v>3849294825</v>
      </c>
      <c r="F27" s="12">
        <f>F26+F25+F24+F23+F22+F21+F20+F19+F17+F12</f>
        <v>15649553500</v>
      </c>
      <c r="G27" s="12">
        <f>G12+G17+G19+G20+G21+G22+G23+G24+G25+G26</f>
        <v>11724269880</v>
      </c>
      <c r="H27" s="12">
        <f>H12+H17+H19+H20+H21+H22+H23+H24+H25+H26</f>
        <v>3925283620</v>
      </c>
      <c r="I27" s="149"/>
      <c r="J27" s="87"/>
      <c r="K27" s="153"/>
      <c r="L27" s="154"/>
      <c r="M27" s="154"/>
      <c r="N27" s="155"/>
      <c r="O27" s="154"/>
      <c r="P27" s="154"/>
      <c r="Q27" s="155"/>
      <c r="R27" s="8"/>
      <c r="S27" s="19" t="s">
        <v>23</v>
      </c>
      <c r="T27" s="77">
        <f>L6</f>
        <v>4014094934</v>
      </c>
      <c r="U27" s="639">
        <f>O6</f>
        <v>4230930135</v>
      </c>
      <c r="V27" s="73"/>
      <c r="W27" s="7"/>
      <c r="X27" s="71"/>
      <c r="Y27" s="91"/>
    </row>
    <row r="28" spans="1:26" ht="26" thickBot="1" x14ac:dyDescent="0.35">
      <c r="A28" s="7" t="s">
        <v>434</v>
      </c>
      <c r="B28" s="7" t="s">
        <v>435</v>
      </c>
      <c r="C28" s="92">
        <v>248900000</v>
      </c>
      <c r="D28" s="92">
        <f>C28</f>
        <v>248900000</v>
      </c>
      <c r="E28" s="91">
        <v>0</v>
      </c>
      <c r="F28" s="92">
        <v>248900000</v>
      </c>
      <c r="G28" s="92">
        <f>F28</f>
        <v>248900000</v>
      </c>
      <c r="H28" s="91">
        <v>0</v>
      </c>
      <c r="I28" s="95"/>
      <c r="J28" s="8"/>
      <c r="K28" s="156"/>
      <c r="L28" s="157"/>
      <c r="M28" s="157"/>
      <c r="N28" s="158"/>
      <c r="O28" s="157"/>
      <c r="P28" s="157"/>
      <c r="Q28" s="158"/>
      <c r="R28" s="8"/>
      <c r="S28" s="166" t="s">
        <v>240</v>
      </c>
      <c r="T28" s="15">
        <f>L7+L12+L13</f>
        <v>7920922722</v>
      </c>
      <c r="U28" s="93">
        <f>O7+O12+O13</f>
        <v>8046875884</v>
      </c>
      <c r="V28" s="73"/>
      <c r="W28" s="7"/>
      <c r="X28" s="9"/>
      <c r="Y28" s="92"/>
    </row>
    <row r="29" spans="1:26" ht="13.5" thickBot="1" x14ac:dyDescent="0.35">
      <c r="A29" s="7" t="s">
        <v>212</v>
      </c>
      <c r="B29" s="7"/>
      <c r="C29" s="92"/>
      <c r="D29" s="92"/>
      <c r="E29" s="91"/>
      <c r="F29" s="92"/>
      <c r="G29" s="92"/>
      <c r="H29" s="91"/>
      <c r="I29" s="95"/>
      <c r="J29" s="8"/>
      <c r="K29" s="156"/>
      <c r="L29" s="157"/>
      <c r="M29" s="157"/>
      <c r="N29" s="158"/>
      <c r="O29" s="157"/>
      <c r="P29" s="157"/>
      <c r="Q29" s="158"/>
      <c r="R29" s="8"/>
      <c r="S29" s="5" t="s">
        <v>28</v>
      </c>
      <c r="T29" s="11">
        <f>SUM(T27:T28)</f>
        <v>11935017656</v>
      </c>
      <c r="U29" s="12">
        <f>SUM(U27:U28)</f>
        <v>12277806019</v>
      </c>
      <c r="V29" s="73"/>
      <c r="W29" s="13"/>
      <c r="X29" s="70"/>
      <c r="Y29" s="69"/>
    </row>
    <row r="30" spans="1:26" ht="13.5" thickBot="1" x14ac:dyDescent="0.35">
      <c r="A30" s="7" t="s">
        <v>282</v>
      </c>
      <c r="B30" s="131" t="s">
        <v>283</v>
      </c>
      <c r="C30" s="92">
        <f>'Működési bevételek'!K61</f>
        <v>132053794</v>
      </c>
      <c r="D30" s="92">
        <f>C30</f>
        <v>132053794</v>
      </c>
      <c r="E30" s="91">
        <v>0</v>
      </c>
      <c r="F30" s="92">
        <f>'Működési bevételek'!K62</f>
        <v>132406352</v>
      </c>
      <c r="G30" s="92">
        <f>F30</f>
        <v>132406352</v>
      </c>
      <c r="H30" s="91">
        <v>0</v>
      </c>
      <c r="I30" s="95"/>
      <c r="J30" s="8"/>
      <c r="K30" s="153"/>
      <c r="L30" s="154"/>
      <c r="M30" s="154"/>
      <c r="N30" s="155"/>
      <c r="O30" s="154"/>
      <c r="P30" s="154"/>
      <c r="Q30" s="155"/>
      <c r="R30" s="8"/>
      <c r="S30" s="78"/>
      <c r="T30" s="79"/>
      <c r="U30" s="845"/>
      <c r="V30" s="73"/>
      <c r="W30" s="5"/>
      <c r="X30" s="11"/>
      <c r="Y30" s="12"/>
    </row>
    <row r="31" spans="1:26" ht="26" thickBot="1" x14ac:dyDescent="0.35">
      <c r="A31" s="86" t="s">
        <v>763</v>
      </c>
      <c r="B31" s="166" t="s">
        <v>764</v>
      </c>
      <c r="C31" s="93">
        <f>'Működési bevételek'!K67</f>
        <v>500000000</v>
      </c>
      <c r="D31" s="93">
        <f>C31</f>
        <v>500000000</v>
      </c>
      <c r="E31" s="91"/>
      <c r="F31" s="93">
        <f>'Működési bevételek'!K68</f>
        <v>1122491479</v>
      </c>
      <c r="G31" s="93">
        <f>F31</f>
        <v>1122491479</v>
      </c>
      <c r="H31" s="91"/>
      <c r="I31" s="95"/>
      <c r="J31" s="8"/>
      <c r="K31" s="159"/>
      <c r="L31" s="154"/>
      <c r="M31" s="154"/>
      <c r="N31" s="155"/>
      <c r="O31" s="154"/>
      <c r="P31" s="154"/>
      <c r="Q31" s="155"/>
      <c r="R31" s="8"/>
      <c r="S31" s="5" t="s">
        <v>93</v>
      </c>
      <c r="T31" s="11">
        <v>0</v>
      </c>
      <c r="U31" s="12">
        <v>0</v>
      </c>
      <c r="V31" s="73"/>
      <c r="W31" s="5"/>
      <c r="X31" s="11"/>
      <c r="Y31" s="12"/>
    </row>
    <row r="32" spans="1:26" ht="13.5" thickBot="1" x14ac:dyDescent="0.35">
      <c r="A32" s="7" t="s">
        <v>284</v>
      </c>
      <c r="B32" s="5" t="s">
        <v>222</v>
      </c>
      <c r="C32" s="11">
        <f t="shared" ref="C32:H32" si="10">SUM(C28:C31)</f>
        <v>880953794</v>
      </c>
      <c r="D32" s="11">
        <f t="shared" si="10"/>
        <v>880953794</v>
      </c>
      <c r="E32" s="11">
        <f t="shared" si="10"/>
        <v>0</v>
      </c>
      <c r="F32" s="12">
        <f t="shared" si="10"/>
        <v>1503797831</v>
      </c>
      <c r="G32" s="12">
        <f t="shared" si="10"/>
        <v>1503797831</v>
      </c>
      <c r="H32" s="12">
        <f t="shared" si="10"/>
        <v>0</v>
      </c>
      <c r="I32" s="95"/>
      <c r="J32" s="8"/>
      <c r="K32" s="153"/>
      <c r="L32" s="154"/>
      <c r="M32" s="154"/>
      <c r="N32" s="155"/>
      <c r="O32" s="154"/>
      <c r="P32" s="154"/>
      <c r="Q32" s="155"/>
      <c r="R32" s="8"/>
      <c r="S32" s="78"/>
      <c r="T32" s="79"/>
      <c r="U32" s="845"/>
      <c r="V32" s="73"/>
      <c r="W32" s="5"/>
      <c r="X32" s="11"/>
      <c r="Y32" s="12"/>
    </row>
    <row r="33" spans="1:26" ht="13.5" thickBot="1" x14ac:dyDescent="0.35">
      <c r="A33" s="86"/>
      <c r="B33" s="5"/>
      <c r="C33" s="11">
        <v>0</v>
      </c>
      <c r="D33" s="11">
        <v>0</v>
      </c>
      <c r="E33" s="11">
        <v>0</v>
      </c>
      <c r="F33" s="12">
        <v>0</v>
      </c>
      <c r="G33" s="12">
        <v>0</v>
      </c>
      <c r="H33" s="12">
        <v>0</v>
      </c>
      <c r="I33" s="95"/>
      <c r="J33" s="8"/>
      <c r="K33" s="153"/>
      <c r="L33" s="154"/>
      <c r="M33" s="154"/>
      <c r="N33" s="155"/>
      <c r="O33" s="154"/>
      <c r="P33" s="154"/>
      <c r="Q33" s="155"/>
      <c r="R33" s="8"/>
      <c r="S33" s="588" t="s">
        <v>92</v>
      </c>
      <c r="T33" s="589">
        <f>SUM(T29:T32)</f>
        <v>11935017656</v>
      </c>
      <c r="U33" s="589">
        <f>SUM(U29:U32)</f>
        <v>12277806019</v>
      </c>
      <c r="V33" s="73"/>
      <c r="W33" s="6" t="s">
        <v>94</v>
      </c>
      <c r="X33" s="11">
        <f>X19-X26</f>
        <v>0</v>
      </c>
      <c r="Y33" s="12">
        <f>Y19-Y26</f>
        <v>0</v>
      </c>
    </row>
    <row r="34" spans="1:26" ht="13.5" thickBot="1" x14ac:dyDescent="0.35">
      <c r="A34" s="648"/>
      <c r="B34" s="649" t="s">
        <v>46</v>
      </c>
      <c r="C34" s="650">
        <f>C33+C32+C27</f>
        <v>16180287575</v>
      </c>
      <c r="D34" s="650">
        <f>D27+D32+D33</f>
        <v>12330992750</v>
      </c>
      <c r="E34" s="650">
        <f>E27+E32+E33</f>
        <v>3849294825</v>
      </c>
      <c r="F34" s="829">
        <f>F33+F32+F27</f>
        <v>17153351331</v>
      </c>
      <c r="G34" s="829">
        <f>G27+G32+G33</f>
        <v>13228067711</v>
      </c>
      <c r="H34" s="829">
        <f>H27+H32+H33</f>
        <v>3925283620</v>
      </c>
      <c r="I34" s="148"/>
      <c r="J34" s="8"/>
      <c r="K34" s="153"/>
      <c r="L34" s="154"/>
      <c r="M34" s="154"/>
      <c r="N34" s="155"/>
      <c r="O34" s="154"/>
      <c r="P34" s="154"/>
      <c r="Q34" s="155"/>
      <c r="R34" s="8"/>
      <c r="S34" s="78"/>
      <c r="T34" s="20"/>
      <c r="U34" s="846"/>
      <c r="V34" s="73"/>
    </row>
    <row r="35" spans="1:26" ht="39.5" thickBot="1" x14ac:dyDescent="0.35">
      <c r="A35" s="6"/>
      <c r="B35" s="141" t="s">
        <v>167</v>
      </c>
      <c r="C35" s="651"/>
      <c r="D35" s="128">
        <f>M37</f>
        <v>31181173</v>
      </c>
      <c r="E35" s="651"/>
      <c r="F35" s="830"/>
      <c r="G35" s="830">
        <f>P37</f>
        <v>33580269</v>
      </c>
      <c r="H35" s="841"/>
      <c r="I35" s="148"/>
      <c r="J35" s="8"/>
      <c r="K35" s="160"/>
      <c r="L35" s="161"/>
      <c r="M35" s="161"/>
      <c r="N35" s="162"/>
      <c r="O35" s="161"/>
      <c r="P35" s="161"/>
      <c r="Q35" s="162"/>
      <c r="R35" s="8"/>
      <c r="S35" s="7"/>
      <c r="T35" s="7"/>
      <c r="U35" s="17"/>
      <c r="V35" s="73"/>
      <c r="X35" s="4">
        <f>X26-X19</f>
        <v>0</v>
      </c>
    </row>
    <row r="36" spans="1:26" ht="13.5" thickBot="1" x14ac:dyDescent="0.35">
      <c r="A36" s="652"/>
      <c r="B36" s="21"/>
      <c r="C36" s="22"/>
      <c r="D36" s="22"/>
      <c r="E36" s="22"/>
      <c r="F36" s="22"/>
      <c r="G36" s="22"/>
      <c r="H36" s="22"/>
      <c r="I36" s="148"/>
      <c r="K36" s="266" t="s">
        <v>47</v>
      </c>
      <c r="L36" s="313">
        <f>L13+L12+L9+L8</f>
        <v>16180287575</v>
      </c>
      <c r="M36" s="313">
        <f>M8+M9+M11+M12+M13</f>
        <v>12330992750</v>
      </c>
      <c r="N36" s="11">
        <f>N8+N9+N11+N12+N13</f>
        <v>3849294825</v>
      </c>
      <c r="O36" s="831">
        <f>O13+O12+O9+O8</f>
        <v>17153351331</v>
      </c>
      <c r="P36" s="831">
        <f>P8+P9+P11+P12+P13</f>
        <v>13228067711</v>
      </c>
      <c r="Q36" s="12">
        <f>Q8+Q9+Q11+Q12+Q13</f>
        <v>3925283620</v>
      </c>
      <c r="S36" s="7"/>
      <c r="T36" s="7"/>
      <c r="U36" s="17"/>
      <c r="V36" s="21"/>
    </row>
    <row r="37" spans="1:26" ht="39.5" thickBot="1" x14ac:dyDescent="0.35">
      <c r="A37" s="21"/>
      <c r="B37" s="23"/>
      <c r="C37" s="4"/>
      <c r="D37" s="4"/>
      <c r="E37" s="4"/>
      <c r="F37" s="4"/>
      <c r="G37" s="4"/>
      <c r="H37" s="4"/>
      <c r="I37" s="22"/>
      <c r="K37" s="127" t="s">
        <v>167</v>
      </c>
      <c r="L37" s="653"/>
      <c r="M37" s="128">
        <f>SUM('Működési kiadások'!M172+'Működési kiadások'!M200+'Működési kiadások'!M218)+1</f>
        <v>31181173</v>
      </c>
      <c r="N37" s="654"/>
      <c r="O37" s="827"/>
      <c r="P37" s="830">
        <f>'Működési kiadások'!M394</f>
        <v>33580269</v>
      </c>
      <c r="Q37" s="832"/>
      <c r="S37" s="6" t="s">
        <v>94</v>
      </c>
      <c r="T37" s="11">
        <f>T25-T33</f>
        <v>0</v>
      </c>
      <c r="U37" s="12">
        <f>U25-U33</f>
        <v>0</v>
      </c>
      <c r="X37" s="391">
        <f>X16+X17</f>
        <v>887220582</v>
      </c>
    </row>
    <row r="38" spans="1:26" x14ac:dyDescent="0.25">
      <c r="E38" s="8" t="s">
        <v>95</v>
      </c>
      <c r="F38" s="8"/>
      <c r="G38" s="8"/>
      <c r="H38" s="8"/>
      <c r="I38" s="4"/>
      <c r="J38" s="391">
        <f>L36-C34</f>
        <v>0</v>
      </c>
      <c r="K38" s="8"/>
      <c r="L38" s="4"/>
      <c r="M38" s="4"/>
      <c r="N38" s="4"/>
      <c r="O38" s="4"/>
      <c r="P38" s="4"/>
      <c r="Q38" s="4"/>
      <c r="T38" s="4"/>
      <c r="U38" s="4"/>
      <c r="X38" s="391">
        <f>X16+X17</f>
        <v>887220582</v>
      </c>
    </row>
    <row r="39" spans="1:26" x14ac:dyDescent="0.25">
      <c r="D39" s="4"/>
      <c r="I39" s="8"/>
      <c r="J39" s="390"/>
      <c r="K39" s="87"/>
      <c r="L39" s="8"/>
      <c r="M39" s="87"/>
      <c r="S39" t="s">
        <v>95</v>
      </c>
      <c r="T39" s="4">
        <f>T25-T33</f>
        <v>0</v>
      </c>
      <c r="U39" s="4"/>
    </row>
    <row r="40" spans="1:26" x14ac:dyDescent="0.25">
      <c r="A40" s="8" t="s">
        <v>1143</v>
      </c>
      <c r="C40" s="390"/>
      <c r="D40" s="391"/>
      <c r="E40" s="391"/>
      <c r="F40" s="391"/>
      <c r="G40" s="391"/>
      <c r="H40" s="391"/>
      <c r="I40" s="390"/>
      <c r="J40" s="391">
        <f>J38-[3]Egyenleg!$D$9</f>
        <v>1.1203765869140625E-2</v>
      </c>
      <c r="K40" s="390"/>
      <c r="L40" s="390"/>
      <c r="M40" s="87"/>
      <c r="N40" s="390"/>
      <c r="O40" s="390"/>
      <c r="P40" s="390"/>
      <c r="Q40" s="390"/>
      <c r="S40" s="4"/>
      <c r="T40" s="4"/>
      <c r="U40" s="4"/>
    </row>
    <row r="41" spans="1:26" x14ac:dyDescent="0.25">
      <c r="A41" s="8"/>
      <c r="B41" s="390"/>
      <c r="C41" s="391">
        <f>C34-C28-C25</f>
        <v>15231387575</v>
      </c>
      <c r="D41" s="391">
        <f>D34-D28-D25-D35</f>
        <v>12050911577</v>
      </c>
      <c r="E41" s="391">
        <f>E34-E25-E28</f>
        <v>3149294825</v>
      </c>
      <c r="F41" s="391"/>
      <c r="G41" s="391"/>
      <c r="H41" s="391"/>
      <c r="I41" s="390"/>
      <c r="J41" s="390"/>
      <c r="K41" s="391"/>
      <c r="L41" s="390"/>
      <c r="M41" s="391"/>
      <c r="N41" s="87">
        <f>N36-E34</f>
        <v>0</v>
      </c>
      <c r="O41" s="87"/>
      <c r="P41" s="87"/>
      <c r="Q41" s="87"/>
      <c r="R41" s="390"/>
      <c r="S41" s="390"/>
      <c r="T41" s="391"/>
      <c r="U41" s="391"/>
      <c r="V41" s="390"/>
      <c r="W41" s="391"/>
      <c r="X41" s="391"/>
      <c r="Y41" s="390"/>
      <c r="Z41" s="390"/>
    </row>
    <row r="42" spans="1:26" x14ac:dyDescent="0.25">
      <c r="A42" s="8"/>
      <c r="B42" s="390"/>
      <c r="C42" s="391">
        <f>[4]Mérleg!$F$34-C34</f>
        <v>-3895328729.4700012</v>
      </c>
      <c r="D42" s="391"/>
      <c r="E42" s="391"/>
      <c r="F42" s="391"/>
      <c r="G42" s="391"/>
      <c r="H42" s="391"/>
      <c r="I42" s="390"/>
      <c r="J42" s="391"/>
      <c r="K42" s="391"/>
      <c r="L42" s="921"/>
      <c r="M42" s="921"/>
      <c r="N42" s="390"/>
      <c r="O42" s="390"/>
      <c r="P42" s="390"/>
      <c r="Q42" s="390"/>
      <c r="R42" s="390"/>
      <c r="S42" s="390"/>
      <c r="T42" s="390"/>
      <c r="U42" s="390"/>
      <c r="V42" s="390"/>
      <c r="W42" s="391"/>
      <c r="X42" s="391"/>
      <c r="Y42" s="390"/>
      <c r="Z42" s="390"/>
    </row>
    <row r="43" spans="1:26" x14ac:dyDescent="0.25">
      <c r="A43" s="8"/>
      <c r="B43" s="390"/>
      <c r="C43" s="391"/>
      <c r="D43" s="390"/>
      <c r="E43" s="390"/>
      <c r="F43" s="390"/>
      <c r="G43" s="390"/>
      <c r="H43" s="390"/>
      <c r="I43" s="390"/>
      <c r="J43" s="390"/>
      <c r="K43" s="391"/>
      <c r="L43" s="391">
        <f>L8+L11+L12+L13</f>
        <v>11935017656</v>
      </c>
      <c r="M43" s="390"/>
      <c r="N43" s="390"/>
      <c r="O43" s="390"/>
      <c r="P43" s="390"/>
      <c r="Q43" s="390"/>
      <c r="R43" s="390"/>
      <c r="S43" s="390"/>
      <c r="T43" s="390"/>
      <c r="U43" s="390"/>
      <c r="V43" s="390"/>
      <c r="W43" s="391"/>
      <c r="X43" s="391"/>
      <c r="Y43" s="390"/>
      <c r="Z43" s="390"/>
    </row>
    <row r="44" spans="1:26" x14ac:dyDescent="0.25">
      <c r="A44" s="8"/>
      <c r="B44" s="390"/>
      <c r="C44" s="391"/>
      <c r="D44" s="390"/>
      <c r="E44" s="390"/>
      <c r="F44" s="390"/>
      <c r="G44" s="390"/>
      <c r="H44" s="390"/>
      <c r="I44" s="390"/>
      <c r="J44" s="390"/>
      <c r="K44" s="391"/>
      <c r="L44" s="390"/>
      <c r="M44" s="390"/>
      <c r="N44" s="390"/>
      <c r="O44" s="390"/>
      <c r="P44" s="390"/>
      <c r="Q44" s="390"/>
      <c r="R44" s="390"/>
      <c r="S44" s="390"/>
      <c r="T44" s="390"/>
      <c r="U44" s="390"/>
      <c r="V44" s="390"/>
      <c r="W44" s="391"/>
      <c r="X44" s="391"/>
      <c r="Y44" s="390"/>
      <c r="Z44" s="390"/>
    </row>
    <row r="45" spans="1:26" x14ac:dyDescent="0.25">
      <c r="A45" s="8"/>
      <c r="B45" s="390"/>
      <c r="C45" s="390"/>
      <c r="D45" s="390"/>
      <c r="E45" s="390"/>
      <c r="F45" s="390"/>
      <c r="G45" s="390"/>
      <c r="H45" s="390"/>
      <c r="I45" s="390"/>
      <c r="J45" s="390"/>
      <c r="K45" s="422"/>
      <c r="L45" s="390"/>
      <c r="M45" s="390"/>
      <c r="N45" s="390"/>
      <c r="O45" s="390"/>
      <c r="P45" s="390"/>
      <c r="Q45" s="390"/>
      <c r="R45" s="390"/>
      <c r="S45" s="390"/>
      <c r="T45" s="390"/>
      <c r="U45" s="390"/>
      <c r="V45" s="390"/>
      <c r="W45" s="391"/>
      <c r="X45" s="391"/>
      <c r="Y45" s="390"/>
      <c r="Z45" s="390"/>
    </row>
    <row r="46" spans="1:26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306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7"/>
    </row>
    <row r="47" spans="1:26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7"/>
    </row>
  </sheetData>
  <mergeCells count="6">
    <mergeCell ref="P4:Q4"/>
    <mergeCell ref="K3:L3"/>
    <mergeCell ref="D4:E4"/>
    <mergeCell ref="M4:N4"/>
    <mergeCell ref="L42:M42"/>
    <mergeCell ref="G4:H4"/>
  </mergeCells>
  <pageMargins left="0.74803149606299213" right="0.74803149606299213" top="0.31496062992125984" bottom="0.27559055118110237" header="0.15748031496062992" footer="0.31496062992125984"/>
  <pageSetup paperSize="8" orientation="landscape" r:id="rId1"/>
  <headerFooter alignWithMargins="0"/>
  <colBreaks count="2" manualBreakCount="2">
    <brk id="9" max="1048575" man="1"/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AN160"/>
  <sheetViews>
    <sheetView zoomScale="120" zoomScaleNormal="120" workbookViewId="0">
      <selection activeCell="A151" sqref="A151:XFD156"/>
    </sheetView>
  </sheetViews>
  <sheetFormatPr defaultRowHeight="12.5" x14ac:dyDescent="0.25"/>
  <cols>
    <col min="1" max="1" width="2.81640625" style="1" customWidth="1"/>
    <col min="2" max="2" width="2.81640625" style="8" customWidth="1"/>
    <col min="3" max="3" width="12.6328125" style="8" customWidth="1"/>
    <col min="4" max="4" width="10.1796875" style="8" customWidth="1"/>
    <col min="5" max="5" width="16.1796875" style="8" customWidth="1"/>
    <col min="6" max="6" width="14.54296875" style="8" customWidth="1"/>
    <col min="7" max="7" width="15.81640625" style="8" customWidth="1"/>
    <col min="8" max="8" width="14.54296875" style="8" customWidth="1"/>
    <col min="9" max="9" width="12.81640625" style="8" customWidth="1"/>
    <col min="10" max="10" width="15.6328125" style="8" customWidth="1"/>
    <col min="11" max="11" width="16.81640625" style="8" customWidth="1"/>
    <col min="12" max="12" width="16.08984375" style="8" customWidth="1"/>
    <col min="13" max="13" width="14.1796875" style="392" customWidth="1"/>
    <col min="14" max="14" width="15.1796875" style="390" bestFit="1" customWidth="1"/>
    <col min="15" max="15" width="11" style="8" bestFit="1" customWidth="1"/>
    <col min="16" max="16" width="9.1796875" style="8"/>
    <col min="17" max="17" width="11.81640625" style="8" bestFit="1" customWidth="1"/>
    <col min="18" max="40" width="9.1796875" style="8"/>
  </cols>
  <sheetData>
    <row r="1" spans="2:13" ht="15.5" x14ac:dyDescent="0.35">
      <c r="B1" s="3" t="s">
        <v>317</v>
      </c>
      <c r="C1" s="24"/>
      <c r="D1" s="25"/>
      <c r="E1" s="26"/>
      <c r="F1" s="27"/>
      <c r="G1" s="27"/>
      <c r="H1" s="27" t="s">
        <v>787</v>
      </c>
      <c r="I1" s="27"/>
      <c r="J1" s="27"/>
      <c r="K1" s="27"/>
      <c r="L1" s="27" t="s">
        <v>702</v>
      </c>
    </row>
    <row r="2" spans="2:13" ht="12.75" customHeight="1" thickBot="1" x14ac:dyDescent="0.35">
      <c r="B2" s="28"/>
      <c r="C2" s="3"/>
      <c r="D2" s="29"/>
      <c r="E2" s="30"/>
      <c r="F2" s="31"/>
      <c r="G2" s="31"/>
      <c r="H2" s="31"/>
      <c r="I2" s="32"/>
      <c r="J2" s="32"/>
      <c r="K2" s="926" t="s">
        <v>689</v>
      </c>
      <c r="L2" s="926"/>
    </row>
    <row r="3" spans="2:13" ht="12.75" customHeight="1" x14ac:dyDescent="0.25">
      <c r="B3" s="930" t="s">
        <v>48</v>
      </c>
      <c r="C3" s="931"/>
      <c r="D3" s="932"/>
      <c r="E3" s="924" t="s">
        <v>189</v>
      </c>
      <c r="F3" s="922" t="s">
        <v>190</v>
      </c>
      <c r="G3" s="922" t="s">
        <v>191</v>
      </c>
      <c r="H3" s="922" t="s">
        <v>192</v>
      </c>
      <c r="I3" s="922" t="s">
        <v>378</v>
      </c>
      <c r="J3" s="922" t="s">
        <v>193</v>
      </c>
      <c r="K3" s="276" t="s">
        <v>82</v>
      </c>
      <c r="L3" s="928" t="s">
        <v>49</v>
      </c>
    </row>
    <row r="4" spans="2:13" x14ac:dyDescent="0.25">
      <c r="B4" s="933"/>
      <c r="C4" s="934"/>
      <c r="D4" s="935"/>
      <c r="E4" s="925"/>
      <c r="F4" s="923"/>
      <c r="G4" s="923"/>
      <c r="H4" s="927"/>
      <c r="I4" s="927"/>
      <c r="J4" s="927"/>
      <c r="K4" s="279" t="s">
        <v>83</v>
      </c>
      <c r="L4" s="929"/>
    </row>
    <row r="5" spans="2:13" ht="36" customHeight="1" thickBot="1" x14ac:dyDescent="0.3">
      <c r="B5" s="933"/>
      <c r="C5" s="934"/>
      <c r="D5" s="935"/>
      <c r="E5" s="925"/>
      <c r="F5" s="923"/>
      <c r="G5" s="923"/>
      <c r="H5" s="927"/>
      <c r="I5" s="927"/>
      <c r="J5" s="927"/>
      <c r="K5" s="279" t="s">
        <v>194</v>
      </c>
      <c r="L5" s="929"/>
      <c r="M5" s="392" t="s">
        <v>788</v>
      </c>
    </row>
    <row r="6" spans="2:13" ht="20.5" customHeight="1" x14ac:dyDescent="0.25">
      <c r="B6" s="46"/>
      <c r="C6" s="939" t="s">
        <v>990</v>
      </c>
      <c r="D6" s="940"/>
      <c r="E6" s="444">
        <v>0</v>
      </c>
      <c r="F6" s="445">
        <v>237169757</v>
      </c>
      <c r="G6" s="446">
        <f>L6-F6</f>
        <v>18787885</v>
      </c>
      <c r="H6" s="445">
        <v>0</v>
      </c>
      <c r="I6" s="445">
        <v>0</v>
      </c>
      <c r="J6" s="445">
        <v>0</v>
      </c>
      <c r="K6" s="447">
        <v>0</v>
      </c>
      <c r="L6" s="445">
        <f>[5]intézményfin.!$P$33</f>
        <v>255957642</v>
      </c>
      <c r="M6" s="394">
        <f>F6+G6-L6</f>
        <v>0</v>
      </c>
    </row>
    <row r="7" spans="2:13" ht="13" thickBot="1" x14ac:dyDescent="0.3">
      <c r="B7" s="48"/>
      <c r="C7" s="658"/>
      <c r="D7" s="659" t="s">
        <v>988</v>
      </c>
      <c r="E7" s="448">
        <v>961</v>
      </c>
      <c r="F7" s="449">
        <v>237169757</v>
      </c>
      <c r="G7" s="449">
        <f>18787885+5845782+759951+10930826+1421007+2375142</f>
        <v>40120593</v>
      </c>
      <c r="H7" s="449"/>
      <c r="I7" s="449"/>
      <c r="J7" s="449"/>
      <c r="K7" s="448">
        <v>330326</v>
      </c>
      <c r="L7" s="448">
        <f>SUM(E7:K7)</f>
        <v>277621637</v>
      </c>
      <c r="M7" s="394"/>
    </row>
    <row r="8" spans="2:13" ht="23" customHeight="1" x14ac:dyDescent="0.25">
      <c r="B8" s="34"/>
      <c r="C8" s="939" t="s">
        <v>989</v>
      </c>
      <c r="D8" s="940"/>
      <c r="E8" s="445">
        <v>0</v>
      </c>
      <c r="F8" s="445">
        <v>193046400</v>
      </c>
      <c r="G8" s="445">
        <f>L8-F8</f>
        <v>9495487</v>
      </c>
      <c r="H8" s="445">
        <v>0</v>
      </c>
      <c r="I8" s="445">
        <v>0</v>
      </c>
      <c r="J8" s="445">
        <v>0</v>
      </c>
      <c r="K8" s="447">
        <v>0</v>
      </c>
      <c r="L8" s="445">
        <f>[5]intézményfin.!$P$34</f>
        <v>202541887</v>
      </c>
      <c r="M8" s="394">
        <f>F8+G8-L8</f>
        <v>0</v>
      </c>
    </row>
    <row r="9" spans="2:13" ht="13" thickBot="1" x14ac:dyDescent="0.3">
      <c r="B9" s="34"/>
      <c r="C9" s="658"/>
      <c r="D9" s="659" t="s">
        <v>988</v>
      </c>
      <c r="E9" s="449">
        <v>0</v>
      </c>
      <c r="F9" s="449">
        <v>193046400</v>
      </c>
      <c r="G9" s="449">
        <f>9495487+4614473+599882+8581276+1115566+4649500+3760475+488862+317500</f>
        <v>33623021</v>
      </c>
      <c r="H9" s="449">
        <v>0</v>
      </c>
      <c r="I9" s="449">
        <v>0</v>
      </c>
      <c r="J9" s="449">
        <v>0</v>
      </c>
      <c r="K9" s="448">
        <v>51990</v>
      </c>
      <c r="L9" s="448">
        <f>SUM(E9:K9)</f>
        <v>226721411</v>
      </c>
      <c r="M9" s="394"/>
    </row>
    <row r="10" spans="2:13" x14ac:dyDescent="0.25">
      <c r="B10" s="46"/>
      <c r="C10" s="941" t="s">
        <v>991</v>
      </c>
      <c r="D10" s="942"/>
      <c r="E10" s="445">
        <v>0</v>
      </c>
      <c r="F10" s="445">
        <f>150584312+10928160+9253204+15051139+1</f>
        <v>185816816</v>
      </c>
      <c r="G10" s="445">
        <f>L10-F10</f>
        <v>11881430</v>
      </c>
      <c r="H10" s="445">
        <v>0</v>
      </c>
      <c r="I10" s="445">
        <v>0</v>
      </c>
      <c r="J10" s="445">
        <v>0</v>
      </c>
      <c r="K10" s="447">
        <v>0</v>
      </c>
      <c r="L10" s="445">
        <f>[5]intézményfin.!$P$35</f>
        <v>197698246</v>
      </c>
      <c r="M10" s="394">
        <f>F10+G10-L10</f>
        <v>0</v>
      </c>
    </row>
    <row r="11" spans="2:13" ht="13" thickBot="1" x14ac:dyDescent="0.3">
      <c r="B11" s="34"/>
      <c r="C11" s="35"/>
      <c r="D11" s="353" t="s">
        <v>988</v>
      </c>
      <c r="E11" s="449">
        <v>0</v>
      </c>
      <c r="F11" s="449">
        <v>185816816</v>
      </c>
      <c r="G11" s="449">
        <f>11881430+4299250+558902+7967980+1035837+768389+1611912+90000+44450</f>
        <v>28258150</v>
      </c>
      <c r="H11" s="449">
        <v>0</v>
      </c>
      <c r="I11" s="449">
        <v>0</v>
      </c>
      <c r="J11" s="449">
        <v>0</v>
      </c>
      <c r="K11" s="448">
        <v>19860</v>
      </c>
      <c r="L11" s="448">
        <f>SUM(E11:K11)</f>
        <v>214094826</v>
      </c>
      <c r="M11" s="394"/>
    </row>
    <row r="12" spans="2:13" x14ac:dyDescent="0.25">
      <c r="B12" s="46"/>
      <c r="C12" s="941" t="s">
        <v>75</v>
      </c>
      <c r="D12" s="942"/>
      <c r="E12" s="445">
        <v>0</v>
      </c>
      <c r="F12" s="445">
        <f>136386115-15051139</f>
        <v>121334976</v>
      </c>
      <c r="G12" s="445">
        <f>L12-F12</f>
        <v>1366871</v>
      </c>
      <c r="H12" s="445">
        <v>0</v>
      </c>
      <c r="I12" s="445">
        <v>0</v>
      </c>
      <c r="J12" s="445">
        <v>0</v>
      </c>
      <c r="K12" s="447">
        <v>0</v>
      </c>
      <c r="L12" s="445">
        <f>[5]intézményfin.!$P$36</f>
        <v>122701847</v>
      </c>
      <c r="M12" s="394">
        <f>F12+G12-L12</f>
        <v>0</v>
      </c>
    </row>
    <row r="13" spans="2:13" ht="13" thickBot="1" x14ac:dyDescent="0.3">
      <c r="B13" s="34"/>
      <c r="C13" s="35"/>
      <c r="D13" s="353" t="s">
        <v>988</v>
      </c>
      <c r="E13" s="449">
        <v>1058</v>
      </c>
      <c r="F13" s="449">
        <v>121334976</v>
      </c>
      <c r="G13" s="449">
        <f>1366871+2718015+353342+5391795+700933+2179569</f>
        <v>12710525</v>
      </c>
      <c r="H13" s="449">
        <v>0</v>
      </c>
      <c r="I13" s="449">
        <v>0</v>
      </c>
      <c r="J13" s="449">
        <v>0</v>
      </c>
      <c r="K13" s="448">
        <v>0</v>
      </c>
      <c r="L13" s="448">
        <f>SUM(E13:K13)</f>
        <v>134046559</v>
      </c>
      <c r="M13" s="394"/>
    </row>
    <row r="14" spans="2:13" ht="24" customHeight="1" x14ac:dyDescent="0.25">
      <c r="B14" s="46"/>
      <c r="C14" s="939" t="s">
        <v>992</v>
      </c>
      <c r="D14" s="940"/>
      <c r="E14" s="445">
        <v>0</v>
      </c>
      <c r="F14" s="445">
        <f>137744197-9253204</f>
        <v>128490993</v>
      </c>
      <c r="G14" s="445">
        <f>L14-F14</f>
        <v>8711429</v>
      </c>
      <c r="H14" s="445">
        <v>0</v>
      </c>
      <c r="I14" s="445">
        <v>0</v>
      </c>
      <c r="J14" s="445">
        <v>0</v>
      </c>
      <c r="K14" s="447">
        <v>0</v>
      </c>
      <c r="L14" s="445">
        <f>[5]intézményfin.!$P$37</f>
        <v>137202422</v>
      </c>
      <c r="M14" s="394">
        <f>F14+G14-L14</f>
        <v>0</v>
      </c>
    </row>
    <row r="15" spans="2:13" ht="13" thickBot="1" x14ac:dyDescent="0.3">
      <c r="B15" s="34"/>
      <c r="C15" s="658"/>
      <c r="D15" s="659" t="s">
        <v>988</v>
      </c>
      <c r="E15" s="449">
        <v>1287</v>
      </c>
      <c r="F15" s="449">
        <v>128490993</v>
      </c>
      <c r="G15" s="449">
        <f>8711429+3147630+409192+5771881+750345+1951693-1+150000</f>
        <v>20892169</v>
      </c>
      <c r="H15" s="449">
        <v>0</v>
      </c>
      <c r="I15" s="449">
        <v>0</v>
      </c>
      <c r="J15" s="449">
        <v>0</v>
      </c>
      <c r="K15" s="448">
        <v>0</v>
      </c>
      <c r="L15" s="448">
        <f>SUM(E15:K15)</f>
        <v>149384449</v>
      </c>
      <c r="M15" s="394"/>
    </row>
    <row r="16" spans="2:13" ht="21.5" customHeight="1" x14ac:dyDescent="0.25">
      <c r="B16" s="46"/>
      <c r="C16" s="939" t="s">
        <v>993</v>
      </c>
      <c r="D16" s="940"/>
      <c r="E16" s="445">
        <v>0</v>
      </c>
      <c r="F16" s="445">
        <v>284497542</v>
      </c>
      <c r="G16" s="445">
        <f>L16-F16</f>
        <v>12739991</v>
      </c>
      <c r="H16" s="445">
        <v>0</v>
      </c>
      <c r="I16" s="445">
        <v>0</v>
      </c>
      <c r="J16" s="445">
        <v>0</v>
      </c>
      <c r="K16" s="447">
        <v>0</v>
      </c>
      <c r="L16" s="445">
        <f>[5]intézményfin.!$P$38</f>
        <v>297237533</v>
      </c>
      <c r="M16" s="394">
        <f>F16+G16-L16</f>
        <v>0</v>
      </c>
    </row>
    <row r="17" spans="2:14" ht="13" thickBot="1" x14ac:dyDescent="0.3">
      <c r="B17" s="34"/>
      <c r="C17" s="658"/>
      <c r="D17" s="659" t="s">
        <v>988</v>
      </c>
      <c r="E17" s="449">
        <v>3949</v>
      </c>
      <c r="F17" s="449">
        <v>284497542</v>
      </c>
      <c r="G17" s="449">
        <f>12739991+6575997+854879+12452933+1618881+2396499+2297403</f>
        <v>38936583</v>
      </c>
      <c r="H17" s="449">
        <v>0</v>
      </c>
      <c r="I17" s="449">
        <v>0</v>
      </c>
      <c r="J17" s="449">
        <v>0</v>
      </c>
      <c r="K17" s="448">
        <v>275790</v>
      </c>
      <c r="L17" s="448">
        <f>SUM(E17:K17)</f>
        <v>323713864</v>
      </c>
      <c r="M17" s="394"/>
    </row>
    <row r="18" spans="2:14" ht="21.5" customHeight="1" x14ac:dyDescent="0.25">
      <c r="B18" s="46"/>
      <c r="C18" s="939" t="s">
        <v>994</v>
      </c>
      <c r="D18" s="940"/>
      <c r="E18" s="445">
        <v>0</v>
      </c>
      <c r="F18" s="445">
        <f>194602702-10928160</f>
        <v>183674542</v>
      </c>
      <c r="G18" s="445">
        <f>L18-F18</f>
        <v>5357518</v>
      </c>
      <c r="H18" s="445">
        <v>0</v>
      </c>
      <c r="I18" s="445">
        <v>0</v>
      </c>
      <c r="J18" s="445">
        <v>0</v>
      </c>
      <c r="K18" s="447">
        <v>0</v>
      </c>
      <c r="L18" s="445">
        <f>[5]intézményfin.!$P$39</f>
        <v>189032060</v>
      </c>
      <c r="M18" s="394">
        <f>F18+G18-L18</f>
        <v>0</v>
      </c>
    </row>
    <row r="19" spans="2:14" ht="13" thickBot="1" x14ac:dyDescent="0.3">
      <c r="B19" s="34"/>
      <c r="C19" s="658"/>
      <c r="D19" s="659" t="s">
        <v>988</v>
      </c>
      <c r="E19" s="448">
        <v>0</v>
      </c>
      <c r="F19" s="449">
        <v>183674542</v>
      </c>
      <c r="G19" s="449">
        <f>5357518+4242680+551548+8046851+1046091+2541346</f>
        <v>21786034</v>
      </c>
      <c r="H19" s="449"/>
      <c r="I19" s="449"/>
      <c r="J19" s="449"/>
      <c r="K19" s="449">
        <v>36956</v>
      </c>
      <c r="L19" s="449">
        <f>SUM(E19:K19)</f>
        <v>205497532</v>
      </c>
      <c r="M19" s="394"/>
    </row>
    <row r="20" spans="2:14" ht="13" x14ac:dyDescent="0.3">
      <c r="B20" s="943" t="s">
        <v>76</v>
      </c>
      <c r="C20" s="944"/>
      <c r="D20" s="945"/>
      <c r="E20" s="450">
        <f>E6+E8+E10+E12+E14+E16+E18</f>
        <v>0</v>
      </c>
      <c r="F20" s="450">
        <f t="shared" ref="F20:L20" si="0">F6+F8+F10+F12+F14+F16+F18</f>
        <v>1334031026</v>
      </c>
      <c r="G20" s="450">
        <f t="shared" si="0"/>
        <v>68340611</v>
      </c>
      <c r="H20" s="450">
        <f t="shared" si="0"/>
        <v>0</v>
      </c>
      <c r="I20" s="450">
        <f t="shared" si="0"/>
        <v>0</v>
      </c>
      <c r="J20" s="450">
        <f t="shared" si="0"/>
        <v>0</v>
      </c>
      <c r="K20" s="450">
        <f t="shared" si="0"/>
        <v>0</v>
      </c>
      <c r="L20" s="450">
        <f t="shared" si="0"/>
        <v>1402371637</v>
      </c>
      <c r="M20" s="394" t="s">
        <v>751</v>
      </c>
    </row>
    <row r="21" spans="2:14" ht="13.5" thickBot="1" x14ac:dyDescent="0.35">
      <c r="B21" s="946" t="s">
        <v>995</v>
      </c>
      <c r="C21" s="947"/>
      <c r="D21" s="948"/>
      <c r="E21" s="452">
        <f>E7+E9+E11+E13+E15+E17+E19</f>
        <v>7255</v>
      </c>
      <c r="F21" s="452">
        <f t="shared" ref="F21:L21" si="1">F7+F9+F11+F13+F15+F17+F19</f>
        <v>1334031026</v>
      </c>
      <c r="G21" s="452">
        <f t="shared" si="1"/>
        <v>196327075</v>
      </c>
      <c r="H21" s="452">
        <f t="shared" si="1"/>
        <v>0</v>
      </c>
      <c r="I21" s="452">
        <f t="shared" si="1"/>
        <v>0</v>
      </c>
      <c r="J21" s="452">
        <f t="shared" si="1"/>
        <v>0</v>
      </c>
      <c r="K21" s="452">
        <f t="shared" si="1"/>
        <v>714922</v>
      </c>
      <c r="L21" s="452">
        <f t="shared" si="1"/>
        <v>1531080278</v>
      </c>
      <c r="M21" s="394"/>
    </row>
    <row r="22" spans="2:14" ht="23.25" customHeight="1" x14ac:dyDescent="0.25">
      <c r="B22" s="49"/>
      <c r="C22" s="949" t="s">
        <v>800</v>
      </c>
      <c r="D22" s="950"/>
      <c r="E22" s="446">
        <v>15989084</v>
      </c>
      <c r="F22" s="459">
        <f>554172819+34642342</f>
        <v>588815161</v>
      </c>
      <c r="G22" s="446">
        <f>L22-F22-E22</f>
        <v>208225202.58860004</v>
      </c>
      <c r="H22" s="446">
        <v>0</v>
      </c>
      <c r="I22" s="446">
        <v>0</v>
      </c>
      <c r="J22" s="459">
        <v>0</v>
      </c>
      <c r="K22" s="459">
        <v>0</v>
      </c>
      <c r="L22" s="446">
        <f>[1]intézményfin.!$P$41</f>
        <v>813029447.58860004</v>
      </c>
      <c r="M22" s="394">
        <f>E22+F22+G22-L22</f>
        <v>0</v>
      </c>
    </row>
    <row r="23" spans="2:14" ht="13" thickBot="1" x14ac:dyDescent="0.3">
      <c r="B23" s="50"/>
      <c r="C23" s="660"/>
      <c r="D23" s="661" t="s">
        <v>988</v>
      </c>
      <c r="E23" s="470">
        <v>15989084</v>
      </c>
      <c r="F23" s="469">
        <v>588815161</v>
      </c>
      <c r="G23" s="470">
        <f>208225202+31064763+4038419+5600683+728089</f>
        <v>249657156</v>
      </c>
      <c r="H23" s="470">
        <v>0</v>
      </c>
      <c r="I23" s="470">
        <v>0</v>
      </c>
      <c r="J23" s="470">
        <v>0</v>
      </c>
      <c r="K23" s="469">
        <v>370946</v>
      </c>
      <c r="L23" s="471">
        <f>SUM(E23:K23)+1</f>
        <v>854832348</v>
      </c>
      <c r="M23" s="394" t="s">
        <v>751</v>
      </c>
    </row>
    <row r="24" spans="2:14" x14ac:dyDescent="0.25">
      <c r="B24" s="46"/>
      <c r="C24" s="47" t="s">
        <v>78</v>
      </c>
      <c r="D24" s="647"/>
      <c r="E24" s="446">
        <f>[1]intézményfin.!$I$42</f>
        <v>8890000</v>
      </c>
      <c r="F24" s="458">
        <f>'[1]Állami támogatások '!$E$42</f>
        <v>0</v>
      </c>
      <c r="G24" s="445">
        <f>L24-F24-E24</f>
        <v>177205709.31349999</v>
      </c>
      <c r="H24" s="446">
        <v>0</v>
      </c>
      <c r="I24" s="446">
        <v>0</v>
      </c>
      <c r="J24" s="459">
        <v>0</v>
      </c>
      <c r="K24" s="459">
        <v>0</v>
      </c>
      <c r="L24" s="446">
        <f>[1]intézményfin.!$H$42-[1]intézményfin.!$G$42</f>
        <v>186095709.31349999</v>
      </c>
      <c r="M24" s="394">
        <f>E24+F24+G24-L24</f>
        <v>0</v>
      </c>
    </row>
    <row r="25" spans="2:14" ht="13" thickBot="1" x14ac:dyDescent="0.3">
      <c r="B25" s="34"/>
      <c r="C25" s="35"/>
      <c r="D25" s="353" t="s">
        <v>988</v>
      </c>
      <c r="E25" s="449">
        <v>8890000</v>
      </c>
      <c r="F25" s="462">
        <v>15877102</v>
      </c>
      <c r="G25" s="449">
        <f>177205709-15877102+7871345+919579</f>
        <v>170119531</v>
      </c>
      <c r="H25" s="449">
        <v>0</v>
      </c>
      <c r="I25" s="449">
        <v>0</v>
      </c>
      <c r="J25" s="449">
        <v>0</v>
      </c>
      <c r="K25" s="448">
        <v>72182</v>
      </c>
      <c r="L25" s="448">
        <f>SUM(E25:K25)</f>
        <v>194958815</v>
      </c>
      <c r="M25" s="394" t="s">
        <v>751</v>
      </c>
    </row>
    <row r="26" spans="2:14" ht="22.5" customHeight="1" x14ac:dyDescent="0.25">
      <c r="B26" s="46"/>
      <c r="C26" s="939" t="s">
        <v>996</v>
      </c>
      <c r="D26" s="940"/>
      <c r="E26" s="458">
        <f>[6]Összesen!$D$100</f>
        <v>25516791</v>
      </c>
      <c r="F26" s="458">
        <v>0</v>
      </c>
      <c r="G26" s="445">
        <f>L26-F26-E26</f>
        <v>12078247</v>
      </c>
      <c r="H26" s="446">
        <v>0</v>
      </c>
      <c r="I26" s="446">
        <v>0</v>
      </c>
      <c r="J26" s="459">
        <v>0</v>
      </c>
      <c r="K26" s="459">
        <v>0</v>
      </c>
      <c r="L26" s="445">
        <f>[6]Összesen!$D$105-[6]Összesen!$D$83</f>
        <v>37595038</v>
      </c>
      <c r="M26" s="394">
        <f>E26+F26+G26-L26</f>
        <v>0</v>
      </c>
      <c r="N26" s="391"/>
    </row>
    <row r="27" spans="2:14" ht="13" thickBot="1" x14ac:dyDescent="0.3">
      <c r="B27" s="48"/>
      <c r="C27" s="658"/>
      <c r="D27" s="659" t="s">
        <v>988</v>
      </c>
      <c r="E27" s="460">
        <v>25516791</v>
      </c>
      <c r="F27" s="460">
        <v>0</v>
      </c>
      <c r="G27" s="460">
        <f>12078247+391547+50901-3540000</f>
        <v>8980695</v>
      </c>
      <c r="H27" s="460">
        <v>0</v>
      </c>
      <c r="I27" s="460">
        <v>0</v>
      </c>
      <c r="J27" s="460">
        <v>0</v>
      </c>
      <c r="K27" s="460">
        <v>0</v>
      </c>
      <c r="L27" s="461">
        <f>SUM(E27:K27)</f>
        <v>34497486</v>
      </c>
      <c r="M27" s="394"/>
    </row>
    <row r="28" spans="2:14" ht="31.25" customHeight="1" x14ac:dyDescent="0.25">
      <c r="B28" s="46"/>
      <c r="C28" s="951" t="s">
        <v>997</v>
      </c>
      <c r="D28" s="952"/>
      <c r="E28" s="458">
        <v>0</v>
      </c>
      <c r="F28" s="458">
        <v>0</v>
      </c>
      <c r="G28" s="458">
        <f>[6]Összesen!$E$105</f>
        <v>139735096.5</v>
      </c>
      <c r="H28" s="458">
        <v>0</v>
      </c>
      <c r="I28" s="458">
        <v>0</v>
      </c>
      <c r="J28" s="458">
        <v>0</v>
      </c>
      <c r="K28" s="458">
        <v>0</v>
      </c>
      <c r="L28" s="445">
        <f>[6]Összesen!$E$105</f>
        <v>139735096.5</v>
      </c>
      <c r="M28" s="394">
        <f>E28+F28+G28-L28</f>
        <v>0</v>
      </c>
    </row>
    <row r="29" spans="2:14" ht="13" thickBot="1" x14ac:dyDescent="0.3">
      <c r="B29" s="48"/>
      <c r="C29" s="662"/>
      <c r="D29" s="663" t="s">
        <v>988</v>
      </c>
      <c r="E29" s="460">
        <v>0</v>
      </c>
      <c r="F29" s="460">
        <v>0</v>
      </c>
      <c r="G29" s="460">
        <f>139735097+5005741+650747-1-1879444</f>
        <v>143512140</v>
      </c>
      <c r="H29" s="460">
        <v>0</v>
      </c>
      <c r="I29" s="460">
        <v>0</v>
      </c>
      <c r="J29" s="460">
        <v>0</v>
      </c>
      <c r="K29" s="460">
        <v>1879444</v>
      </c>
      <c r="L29" s="461">
        <f>SUM(E29:K29)</f>
        <v>145391584</v>
      </c>
      <c r="M29" s="394"/>
    </row>
    <row r="30" spans="2:14" ht="23.5" customHeight="1" x14ac:dyDescent="0.25">
      <c r="B30" s="46"/>
      <c r="C30" s="951" t="s">
        <v>998</v>
      </c>
      <c r="D30" s="952"/>
      <c r="E30" s="458">
        <f>[6]Összesen!$F$100</f>
        <v>538668347</v>
      </c>
      <c r="F30" s="458">
        <v>297562390</v>
      </c>
      <c r="G30" s="458">
        <f>L30-E30-F30</f>
        <v>316920946.5</v>
      </c>
      <c r="H30" s="458">
        <v>0</v>
      </c>
      <c r="I30" s="458">
        <v>0</v>
      </c>
      <c r="J30" s="458">
        <v>0</v>
      </c>
      <c r="K30" s="458">
        <v>0</v>
      </c>
      <c r="L30" s="445">
        <f>[6]Összesen!$F$105-[6]Összesen!$F$83</f>
        <v>1153151683.5</v>
      </c>
      <c r="M30" s="394">
        <f>E30+F30+G30-L30</f>
        <v>0</v>
      </c>
    </row>
    <row r="31" spans="2:14" ht="17" customHeight="1" thickBot="1" x14ac:dyDescent="0.3">
      <c r="B31" s="48"/>
      <c r="C31" s="662"/>
      <c r="D31" s="663" t="s">
        <v>988</v>
      </c>
      <c r="E31" s="460">
        <v>538668347</v>
      </c>
      <c r="F31" s="460">
        <v>297562390</v>
      </c>
      <c r="G31" s="460">
        <f>316920947+25006118+3250795</f>
        <v>345177860</v>
      </c>
      <c r="H31" s="460">
        <v>0</v>
      </c>
      <c r="I31" s="460">
        <v>0</v>
      </c>
      <c r="J31" s="460">
        <v>0</v>
      </c>
      <c r="K31" s="460">
        <v>0</v>
      </c>
      <c r="L31" s="461">
        <f>SUM(E31:K31)</f>
        <v>1181408597</v>
      </c>
      <c r="M31" s="394"/>
    </row>
    <row r="32" spans="2:14" ht="30.5" customHeight="1" x14ac:dyDescent="0.25">
      <c r="B32" s="46"/>
      <c r="C32" s="939" t="s">
        <v>999</v>
      </c>
      <c r="D32" s="940"/>
      <c r="E32" s="458">
        <f>[6]Összesen!$H$100</f>
        <v>206451863</v>
      </c>
      <c r="F32" s="458">
        <v>0</v>
      </c>
      <c r="G32" s="458">
        <f>L32-E32-F32</f>
        <v>75664457</v>
      </c>
      <c r="H32" s="462">
        <v>0</v>
      </c>
      <c r="I32" s="462">
        <v>0</v>
      </c>
      <c r="J32" s="462">
        <v>0</v>
      </c>
      <c r="K32" s="462">
        <v>0</v>
      </c>
      <c r="L32" s="449">
        <f>[6]Összesen!$H$105-[6]Összesen!$H$83</f>
        <v>282116320</v>
      </c>
      <c r="M32" s="394">
        <f>E32+F32+G32-L32</f>
        <v>0</v>
      </c>
    </row>
    <row r="33" spans="2:15" ht="13" thickBot="1" x14ac:dyDescent="0.3">
      <c r="B33" s="48"/>
      <c r="C33" s="442"/>
      <c r="D33" s="443" t="s">
        <v>988</v>
      </c>
      <c r="E33" s="460">
        <v>206451863</v>
      </c>
      <c r="F33" s="460">
        <v>0</v>
      </c>
      <c r="G33" s="461">
        <f>75664457+6375370+828798-5010893</f>
        <v>77857732</v>
      </c>
      <c r="H33" s="462">
        <v>0</v>
      </c>
      <c r="I33" s="462">
        <v>0</v>
      </c>
      <c r="J33" s="462">
        <v>0</v>
      </c>
      <c r="K33" s="462">
        <f>5010893+153500</f>
        <v>5164393</v>
      </c>
      <c r="L33" s="449">
        <f>SUM(E33:K33)</f>
        <v>289473988</v>
      </c>
      <c r="M33" s="394"/>
    </row>
    <row r="34" spans="2:15" ht="22.25" customHeight="1" x14ac:dyDescent="0.25">
      <c r="B34" s="34"/>
      <c r="C34" s="939" t="s">
        <v>789</v>
      </c>
      <c r="D34" s="940"/>
      <c r="E34" s="462">
        <v>0</v>
      </c>
      <c r="F34" s="462">
        <v>0</v>
      </c>
      <c r="G34" s="462">
        <v>0</v>
      </c>
      <c r="H34" s="446">
        <v>0</v>
      </c>
      <c r="I34" s="446">
        <v>0</v>
      </c>
      <c r="J34" s="459">
        <v>0</v>
      </c>
      <c r="K34" s="459">
        <v>0</v>
      </c>
      <c r="L34" s="445">
        <f>SUM(E34:K34)</f>
        <v>0</v>
      </c>
      <c r="M34" s="394">
        <f>E34+F34+G34-L34</f>
        <v>0</v>
      </c>
      <c r="N34" s="391"/>
    </row>
    <row r="35" spans="2:15" ht="13" thickBot="1" x14ac:dyDescent="0.3">
      <c r="B35" s="34"/>
      <c r="C35" s="664"/>
      <c r="D35" s="665" t="s">
        <v>988</v>
      </c>
      <c r="E35" s="462">
        <v>0</v>
      </c>
      <c r="F35" s="462">
        <v>0</v>
      </c>
      <c r="G35" s="462">
        <v>0</v>
      </c>
      <c r="H35" s="462">
        <v>0</v>
      </c>
      <c r="I35" s="462">
        <v>0</v>
      </c>
      <c r="J35" s="462">
        <v>0</v>
      </c>
      <c r="K35" s="462">
        <v>0</v>
      </c>
      <c r="L35" s="461">
        <v>0</v>
      </c>
      <c r="M35" s="394"/>
    </row>
    <row r="36" spans="2:15" ht="22.5" customHeight="1" thickBot="1" x14ac:dyDescent="0.35">
      <c r="B36" s="399"/>
      <c r="C36" s="937" t="s">
        <v>1000</v>
      </c>
      <c r="D36" s="938"/>
      <c r="E36" s="636">
        <f>E26+E30+E32+E34+E28</f>
        <v>770637001</v>
      </c>
      <c r="F36" s="636">
        <f>F26+F30+F32+F34+F28</f>
        <v>297562390</v>
      </c>
      <c r="G36" s="636">
        <f t="shared" ref="G36:L36" si="2">G26+G30+G32+G34+G28</f>
        <v>544398747</v>
      </c>
      <c r="H36" s="636">
        <f t="shared" si="2"/>
        <v>0</v>
      </c>
      <c r="I36" s="636">
        <f t="shared" si="2"/>
        <v>0</v>
      </c>
      <c r="J36" s="636">
        <f t="shared" si="2"/>
        <v>0</v>
      </c>
      <c r="K36" s="636">
        <f t="shared" si="2"/>
        <v>0</v>
      </c>
      <c r="L36" s="636">
        <f t="shared" si="2"/>
        <v>1612598138</v>
      </c>
      <c r="M36" s="394">
        <f>E36+F36+G36-L36</f>
        <v>0</v>
      </c>
      <c r="N36" s="422"/>
      <c r="O36" s="306"/>
    </row>
    <row r="37" spans="2:15" ht="34.5" customHeight="1" thickBot="1" x14ac:dyDescent="0.35">
      <c r="B37" s="399"/>
      <c r="C37" s="937" t="s">
        <v>1001</v>
      </c>
      <c r="D37" s="938"/>
      <c r="E37" s="636">
        <f>E27+E29+E31+E33+E35</f>
        <v>770637001</v>
      </c>
      <c r="F37" s="636">
        <f t="shared" ref="F37:K37" si="3">F27+F29+F31+F33+F35</f>
        <v>297562390</v>
      </c>
      <c r="G37" s="636">
        <f t="shared" si="3"/>
        <v>575528427</v>
      </c>
      <c r="H37" s="636">
        <f t="shared" si="3"/>
        <v>0</v>
      </c>
      <c r="I37" s="636">
        <f t="shared" si="3"/>
        <v>0</v>
      </c>
      <c r="J37" s="636">
        <f t="shared" si="3"/>
        <v>0</v>
      </c>
      <c r="K37" s="636">
        <f t="shared" si="3"/>
        <v>7043837</v>
      </c>
      <c r="L37" s="636">
        <f>L27+L29+L31+L33+L35</f>
        <v>1650771655</v>
      </c>
      <c r="M37" s="394"/>
      <c r="N37" s="422"/>
      <c r="O37" s="306"/>
    </row>
    <row r="38" spans="2:15" ht="37.5" customHeight="1" thickBot="1" x14ac:dyDescent="0.35">
      <c r="B38" s="936" t="s">
        <v>77</v>
      </c>
      <c r="C38" s="936"/>
      <c r="D38" s="936"/>
      <c r="E38" s="637">
        <f>E36+E24+E22+E20</f>
        <v>795516085</v>
      </c>
      <c r="F38" s="637">
        <f t="shared" ref="F38:L38" si="4">F36+F24+F22+F20</f>
        <v>2220408577</v>
      </c>
      <c r="G38" s="637">
        <f t="shared" si="4"/>
        <v>998170269.90209997</v>
      </c>
      <c r="H38" s="637">
        <f t="shared" si="4"/>
        <v>0</v>
      </c>
      <c r="I38" s="637">
        <f t="shared" si="4"/>
        <v>0</v>
      </c>
      <c r="J38" s="637">
        <f t="shared" si="4"/>
        <v>0</v>
      </c>
      <c r="K38" s="637">
        <f t="shared" si="4"/>
        <v>0</v>
      </c>
      <c r="L38" s="637">
        <f t="shared" si="4"/>
        <v>4014094931.9021001</v>
      </c>
      <c r="M38" s="394" t="s">
        <v>751</v>
      </c>
    </row>
    <row r="39" spans="2:15" ht="37.5" customHeight="1" thickBot="1" x14ac:dyDescent="0.35">
      <c r="B39" s="936" t="s">
        <v>1002</v>
      </c>
      <c r="C39" s="936"/>
      <c r="D39" s="936"/>
      <c r="E39" s="637">
        <f>E21+E23+E25+E37</f>
        <v>795523340</v>
      </c>
      <c r="F39" s="637">
        <f t="shared" ref="F39:L39" si="5">F21+F23+F25+F37</f>
        <v>2236285679</v>
      </c>
      <c r="G39" s="637">
        <f t="shared" si="5"/>
        <v>1191632189</v>
      </c>
      <c r="H39" s="637">
        <f t="shared" si="5"/>
        <v>0</v>
      </c>
      <c r="I39" s="637">
        <f t="shared" si="5"/>
        <v>0</v>
      </c>
      <c r="J39" s="637">
        <f t="shared" si="5"/>
        <v>0</v>
      </c>
      <c r="K39" s="637">
        <f t="shared" si="5"/>
        <v>8201887</v>
      </c>
      <c r="L39" s="637">
        <f t="shared" si="5"/>
        <v>4231643096</v>
      </c>
      <c r="M39" s="394"/>
    </row>
    <row r="40" spans="2:15" x14ac:dyDescent="0.25">
      <c r="B40" s="33"/>
      <c r="C40" s="33"/>
      <c r="D40" s="62"/>
      <c r="E40" s="63"/>
      <c r="F40" s="63"/>
      <c r="G40" s="63">
        <f>G38+F38</f>
        <v>3218578846.9021001</v>
      </c>
      <c r="H40" s="63"/>
      <c r="I40" s="63"/>
      <c r="J40" s="63"/>
      <c r="K40" s="63"/>
      <c r="L40" s="63"/>
      <c r="M40" s="394"/>
    </row>
    <row r="41" spans="2:15" ht="15.5" x14ac:dyDescent="0.35">
      <c r="B41" s="3"/>
      <c r="C41" s="24"/>
      <c r="D41" s="25"/>
      <c r="E41" s="27"/>
      <c r="F41" s="27"/>
      <c r="G41" s="64"/>
      <c r="H41" s="27"/>
      <c r="I41" s="27"/>
      <c r="J41" s="27"/>
      <c r="K41" s="27"/>
      <c r="L41" s="27"/>
    </row>
    <row r="42" spans="2:15" ht="15.5" x14ac:dyDescent="0.35">
      <c r="B42" s="3" t="s">
        <v>318</v>
      </c>
      <c r="H42" s="27" t="s">
        <v>787</v>
      </c>
      <c r="L42" s="3" t="s">
        <v>703</v>
      </c>
    </row>
    <row r="43" spans="2:15" ht="13.5" thickBot="1" x14ac:dyDescent="0.35">
      <c r="K43" s="3" t="s">
        <v>698</v>
      </c>
    </row>
    <row r="44" spans="2:15" ht="12.75" customHeight="1" x14ac:dyDescent="0.25">
      <c r="B44" s="924" t="s">
        <v>195</v>
      </c>
      <c r="C44" s="953"/>
      <c r="D44" s="953"/>
      <c r="E44" s="924" t="s">
        <v>189</v>
      </c>
      <c r="F44" s="922" t="s">
        <v>198</v>
      </c>
      <c r="G44" s="922" t="s">
        <v>191</v>
      </c>
      <c r="H44" s="922" t="s">
        <v>192</v>
      </c>
      <c r="I44" s="922" t="s">
        <v>379</v>
      </c>
      <c r="J44" s="922" t="s">
        <v>197</v>
      </c>
      <c r="K44" s="276" t="s">
        <v>82</v>
      </c>
      <c r="L44" s="928" t="s">
        <v>49</v>
      </c>
    </row>
    <row r="45" spans="2:15" ht="31.5" x14ac:dyDescent="0.25">
      <c r="B45" s="923"/>
      <c r="C45" s="923"/>
      <c r="D45" s="923"/>
      <c r="E45" s="925"/>
      <c r="F45" s="923"/>
      <c r="G45" s="923"/>
      <c r="H45" s="927"/>
      <c r="I45" s="927"/>
      <c r="J45" s="927"/>
      <c r="K45" s="279" t="s">
        <v>567</v>
      </c>
      <c r="L45" s="929"/>
    </row>
    <row r="46" spans="2:15" ht="32" thickBot="1" x14ac:dyDescent="0.3">
      <c r="B46" s="954"/>
      <c r="C46" s="954"/>
      <c r="D46" s="954"/>
      <c r="E46" s="925"/>
      <c r="F46" s="923"/>
      <c r="G46" s="923"/>
      <c r="H46" s="927"/>
      <c r="I46" s="927"/>
      <c r="J46" s="927"/>
      <c r="K46" s="279" t="s">
        <v>762</v>
      </c>
      <c r="L46" s="929"/>
    </row>
    <row r="47" spans="2:15" ht="30.5" customHeight="1" thickBot="1" x14ac:dyDescent="0.3">
      <c r="B47" s="957" t="s">
        <v>196</v>
      </c>
      <c r="C47" s="958"/>
      <c r="D47" s="656" t="s">
        <v>79</v>
      </c>
      <c r="E47" s="446">
        <v>398419967</v>
      </c>
      <c r="F47" s="446"/>
      <c r="G47" s="446"/>
      <c r="H47" s="446">
        <v>110800000</v>
      </c>
      <c r="I47" s="446">
        <v>8088100</v>
      </c>
      <c r="J47" s="446"/>
      <c r="K47" s="463"/>
      <c r="L47" s="444">
        <f>E47+F47+G47+H47+I47+J47+K47</f>
        <v>517308067</v>
      </c>
      <c r="M47" s="394"/>
    </row>
    <row r="48" spans="2:15" ht="31.5" customHeight="1" thickBot="1" x14ac:dyDescent="0.3">
      <c r="B48" s="957" t="s">
        <v>196</v>
      </c>
      <c r="C48" s="958"/>
      <c r="D48" s="656" t="s">
        <v>988</v>
      </c>
      <c r="E48" s="446">
        <v>398419967</v>
      </c>
      <c r="F48" s="446"/>
      <c r="G48" s="446"/>
      <c r="H48" s="446">
        <v>110800000</v>
      </c>
      <c r="I48" s="446">
        <v>8088100</v>
      </c>
      <c r="J48" s="446"/>
      <c r="K48" s="463"/>
      <c r="L48" s="444">
        <f>SUM(E48:K48)</f>
        <v>517308067</v>
      </c>
      <c r="M48" s="394"/>
    </row>
    <row r="49" spans="2:13" ht="41.5" customHeight="1" thickBot="1" x14ac:dyDescent="0.3">
      <c r="B49" s="957" t="s">
        <v>791</v>
      </c>
      <c r="C49" s="958"/>
      <c r="D49" s="656" t="s">
        <v>79</v>
      </c>
      <c r="E49" s="446">
        <v>722879141</v>
      </c>
      <c r="F49" s="446"/>
      <c r="G49" s="446"/>
      <c r="H49" s="446"/>
      <c r="I49" s="446"/>
      <c r="J49" s="446"/>
      <c r="K49" s="463"/>
      <c r="L49" s="445">
        <f>E49+F49+G49+H49+I49+J49+K49</f>
        <v>722879141</v>
      </c>
      <c r="M49" s="394"/>
    </row>
    <row r="50" spans="2:13" ht="41.5" customHeight="1" thickBot="1" x14ac:dyDescent="0.3">
      <c r="B50" s="957" t="s">
        <v>791</v>
      </c>
      <c r="C50" s="958"/>
      <c r="D50" s="656" t="s">
        <v>988</v>
      </c>
      <c r="E50" s="446">
        <f>722879141+4590000</f>
        <v>727469141</v>
      </c>
      <c r="F50" s="446"/>
      <c r="G50" s="446"/>
      <c r="H50" s="446"/>
      <c r="I50" s="446"/>
      <c r="J50" s="446"/>
      <c r="K50" s="463"/>
      <c r="L50" s="444">
        <f>SUM(E50:K50)</f>
        <v>727469141</v>
      </c>
      <c r="M50" s="394"/>
    </row>
    <row r="51" spans="2:13" ht="54" customHeight="1" thickBot="1" x14ac:dyDescent="0.3">
      <c r="B51" s="957" t="s">
        <v>286</v>
      </c>
      <c r="C51" s="958"/>
      <c r="D51" s="656" t="s">
        <v>79</v>
      </c>
      <c r="E51" s="464"/>
      <c r="F51" s="446"/>
      <c r="G51" s="446"/>
      <c r="H51" s="464"/>
      <c r="I51" s="464"/>
      <c r="J51" s="464">
        <v>5760422844</v>
      </c>
      <c r="K51" s="465"/>
      <c r="L51" s="444">
        <f>E51+F51+G51+H51+I51+J51+K51</f>
        <v>5760422844</v>
      </c>
      <c r="M51" s="394"/>
    </row>
    <row r="52" spans="2:13" ht="50.5" customHeight="1" thickBot="1" x14ac:dyDescent="0.3">
      <c r="B52" s="957" t="s">
        <v>286</v>
      </c>
      <c r="C52" s="958"/>
      <c r="D52" s="656" t="s">
        <v>988</v>
      </c>
      <c r="E52" s="464"/>
      <c r="F52" s="446"/>
      <c r="G52" s="446"/>
      <c r="H52" s="464"/>
      <c r="I52" s="445"/>
      <c r="J52" s="445">
        <v>5760422844</v>
      </c>
      <c r="K52" s="444"/>
      <c r="L52" s="444">
        <f t="shared" ref="L52:L58" si="6">SUM(E52:K52)</f>
        <v>5760422844</v>
      </c>
      <c r="M52" s="394"/>
    </row>
    <row r="53" spans="2:13" ht="72" customHeight="1" thickBot="1" x14ac:dyDescent="0.3">
      <c r="B53" s="957" t="s">
        <v>792</v>
      </c>
      <c r="C53" s="958"/>
      <c r="D53" s="656" t="s">
        <v>79</v>
      </c>
      <c r="E53" s="464"/>
      <c r="F53" s="445"/>
      <c r="G53" s="445"/>
      <c r="H53" s="464">
        <v>36613476</v>
      </c>
      <c r="I53" s="446"/>
      <c r="J53" s="446"/>
      <c r="K53" s="463"/>
      <c r="L53" s="464">
        <f t="shared" si="6"/>
        <v>36613476</v>
      </c>
      <c r="M53" s="394"/>
    </row>
    <row r="54" spans="2:13" ht="62.5" customHeight="1" thickBot="1" x14ac:dyDescent="0.3">
      <c r="B54" s="957" t="s">
        <v>792</v>
      </c>
      <c r="C54" s="958"/>
      <c r="D54" s="656" t="s">
        <v>988</v>
      </c>
      <c r="E54" s="464"/>
      <c r="F54" s="445"/>
      <c r="G54" s="445"/>
      <c r="H54" s="445">
        <v>36613476</v>
      </c>
      <c r="I54" s="446"/>
      <c r="J54" s="446"/>
      <c r="K54" s="463"/>
      <c r="L54" s="445">
        <f t="shared" si="6"/>
        <v>36613476</v>
      </c>
      <c r="M54" s="394"/>
    </row>
    <row r="55" spans="2:13" ht="82.5" customHeight="1" thickBot="1" x14ac:dyDescent="0.3">
      <c r="B55" s="957" t="s">
        <v>793</v>
      </c>
      <c r="C55" s="958"/>
      <c r="D55" s="656" t="s">
        <v>79</v>
      </c>
      <c r="E55" s="464"/>
      <c r="F55" s="445"/>
      <c r="G55" s="445"/>
      <c r="H55" s="445">
        <v>67932000</v>
      </c>
      <c r="I55" s="446"/>
      <c r="J55" s="446"/>
      <c r="K55" s="463"/>
      <c r="L55" s="445">
        <f t="shared" si="6"/>
        <v>67932000</v>
      </c>
      <c r="M55" s="394"/>
    </row>
    <row r="56" spans="2:13" ht="83" customHeight="1" thickBot="1" x14ac:dyDescent="0.3">
      <c r="B56" s="957" t="s">
        <v>793</v>
      </c>
      <c r="C56" s="958"/>
      <c r="D56" s="656" t="s">
        <v>988</v>
      </c>
      <c r="E56" s="464"/>
      <c r="F56" s="445"/>
      <c r="G56" s="445"/>
      <c r="H56" s="445">
        <f>67932000-64117184</f>
        <v>3814816</v>
      </c>
      <c r="I56" s="446"/>
      <c r="J56" s="446"/>
      <c r="K56" s="463"/>
      <c r="L56" s="445">
        <f t="shared" si="6"/>
        <v>3814816</v>
      </c>
      <c r="M56" s="394"/>
    </row>
    <row r="57" spans="2:13" ht="86.5" customHeight="1" thickBot="1" x14ac:dyDescent="0.3">
      <c r="B57" s="957" t="s">
        <v>304</v>
      </c>
      <c r="C57" s="958"/>
      <c r="D57" s="656" t="s">
        <v>79</v>
      </c>
      <c r="E57" s="464"/>
      <c r="F57" s="445"/>
      <c r="G57" s="445"/>
      <c r="H57" s="445">
        <v>183440448</v>
      </c>
      <c r="I57" s="446"/>
      <c r="J57" s="446"/>
      <c r="K57" s="463"/>
      <c r="L57" s="445">
        <f t="shared" si="6"/>
        <v>183440448</v>
      </c>
      <c r="M57" s="394"/>
    </row>
    <row r="58" spans="2:13" ht="73.5" customHeight="1" thickBot="1" x14ac:dyDescent="0.3">
      <c r="B58" s="957" t="s">
        <v>304</v>
      </c>
      <c r="C58" s="958"/>
      <c r="D58" s="656" t="s">
        <v>988</v>
      </c>
      <c r="E58" s="464"/>
      <c r="F58" s="445"/>
      <c r="G58" s="445"/>
      <c r="H58" s="445">
        <v>183440448</v>
      </c>
      <c r="I58" s="446"/>
      <c r="J58" s="446"/>
      <c r="K58" s="463"/>
      <c r="L58" s="445">
        <f t="shared" si="6"/>
        <v>183440448</v>
      </c>
      <c r="M58" s="394"/>
    </row>
    <row r="59" spans="2:13" ht="61.5" customHeight="1" thickBot="1" x14ac:dyDescent="0.3">
      <c r="B59" s="957" t="s">
        <v>429</v>
      </c>
      <c r="C59" s="958"/>
      <c r="D59" s="656" t="s">
        <v>79</v>
      </c>
      <c r="E59" s="464"/>
      <c r="F59" s="445"/>
      <c r="G59" s="445"/>
      <c r="H59" s="445">
        <v>91679939</v>
      </c>
      <c r="I59" s="446"/>
      <c r="J59" s="446"/>
      <c r="K59" s="463"/>
      <c r="L59" s="445">
        <f>E59+F59+G59+H59+I59+J59+K59</f>
        <v>91679939</v>
      </c>
      <c r="M59" s="394"/>
    </row>
    <row r="60" spans="2:13" ht="61.5" customHeight="1" thickBot="1" x14ac:dyDescent="0.3">
      <c r="B60" s="957" t="s">
        <v>429</v>
      </c>
      <c r="C60" s="958"/>
      <c r="D60" s="656" t="s">
        <v>988</v>
      </c>
      <c r="E60" s="464"/>
      <c r="F60" s="445"/>
      <c r="G60" s="445"/>
      <c r="H60" s="445">
        <f>91679939+26462304</f>
        <v>118142243</v>
      </c>
      <c r="I60" s="446"/>
      <c r="J60" s="446"/>
      <c r="K60" s="466"/>
      <c r="L60" s="445">
        <f>SUM(E60:K60)</f>
        <v>118142243</v>
      </c>
      <c r="M60" s="394"/>
    </row>
    <row r="61" spans="2:13" ht="60" customHeight="1" thickBot="1" x14ac:dyDescent="0.3">
      <c r="B61" s="957" t="s">
        <v>570</v>
      </c>
      <c r="C61" s="958"/>
      <c r="D61" s="656" t="s">
        <v>79</v>
      </c>
      <c r="E61" s="464"/>
      <c r="F61" s="445">
        <v>3812798896</v>
      </c>
      <c r="G61" s="445"/>
      <c r="H61" s="445"/>
      <c r="I61" s="446"/>
      <c r="J61" s="446"/>
      <c r="K61" s="466">
        <v>132053794</v>
      </c>
      <c r="L61" s="445">
        <f t="shared" ref="L61:L69" si="7">E61+F61+G61+H61+I61+J61+K61</f>
        <v>3944852690</v>
      </c>
      <c r="M61" s="394"/>
    </row>
    <row r="62" spans="2:13" ht="62.5" customHeight="1" thickBot="1" x14ac:dyDescent="0.3">
      <c r="B62" s="957" t="s">
        <v>570</v>
      </c>
      <c r="C62" s="958"/>
      <c r="D62" s="656" t="s">
        <v>988</v>
      </c>
      <c r="E62" s="464"/>
      <c r="F62" s="445">
        <f>3812798896+85122294+511212+1160690+64117184</f>
        <v>3963710276</v>
      </c>
      <c r="G62" s="445"/>
      <c r="H62" s="445"/>
      <c r="I62" s="446"/>
      <c r="J62" s="446"/>
      <c r="K62" s="466">
        <f>132053794+352558</f>
        <v>132406352</v>
      </c>
      <c r="L62" s="445">
        <f>SUM(E62:K62)</f>
        <v>4096116628</v>
      </c>
      <c r="M62" s="394"/>
    </row>
    <row r="63" spans="2:13" ht="41" customHeight="1" thickBot="1" x14ac:dyDescent="0.3">
      <c r="B63" s="957" t="s">
        <v>571</v>
      </c>
      <c r="C63" s="958"/>
      <c r="D63" s="656" t="s">
        <v>79</v>
      </c>
      <c r="E63" s="464"/>
      <c r="F63" s="445"/>
      <c r="G63" s="445"/>
      <c r="H63" s="445"/>
      <c r="I63" s="446"/>
      <c r="J63" s="446"/>
      <c r="K63" s="466">
        <f>248900000+618245356</f>
        <v>867145356</v>
      </c>
      <c r="L63" s="445">
        <f t="shared" si="7"/>
        <v>867145356</v>
      </c>
      <c r="M63" s="394"/>
    </row>
    <row r="64" spans="2:13" ht="34" customHeight="1" thickBot="1" x14ac:dyDescent="0.3">
      <c r="B64" s="957" t="s">
        <v>1038</v>
      </c>
      <c r="C64" s="958"/>
      <c r="D64" s="656" t="s">
        <v>988</v>
      </c>
      <c r="E64" s="464"/>
      <c r="F64" s="445"/>
      <c r="G64" s="445"/>
      <c r="H64" s="445"/>
      <c r="I64" s="446"/>
      <c r="J64" s="446"/>
      <c r="K64" s="466">
        <v>867145356</v>
      </c>
      <c r="L64" s="445">
        <f>SUM(E64:K64)</f>
        <v>867145356</v>
      </c>
      <c r="M64" s="394"/>
    </row>
    <row r="65" spans="1:13" ht="44.4" customHeight="1" thickBot="1" x14ac:dyDescent="0.3">
      <c r="B65" s="957" t="s">
        <v>1039</v>
      </c>
      <c r="C65" s="958"/>
      <c r="D65" s="656" t="s">
        <v>79</v>
      </c>
      <c r="E65" s="464"/>
      <c r="F65" s="445"/>
      <c r="G65" s="445"/>
      <c r="H65" s="445"/>
      <c r="I65" s="445"/>
      <c r="J65" s="445"/>
      <c r="K65" s="447"/>
      <c r="L65" s="445">
        <f t="shared" si="7"/>
        <v>0</v>
      </c>
      <c r="M65" s="394"/>
    </row>
    <row r="66" spans="1:13" ht="42" customHeight="1" thickBot="1" x14ac:dyDescent="0.3">
      <c r="B66" s="957" t="s">
        <v>1039</v>
      </c>
      <c r="C66" s="958"/>
      <c r="D66" s="656" t="s">
        <v>988</v>
      </c>
      <c r="E66" s="464"/>
      <c r="F66" s="445"/>
      <c r="G66" s="445"/>
      <c r="H66" s="445"/>
      <c r="I66" s="445"/>
      <c r="J66" s="445"/>
      <c r="K66" s="447"/>
      <c r="L66" s="445">
        <v>0</v>
      </c>
      <c r="M66" s="394"/>
    </row>
    <row r="67" spans="1:13" ht="44" customHeight="1" thickBot="1" x14ac:dyDescent="0.3">
      <c r="B67" s="957" t="s">
        <v>1040</v>
      </c>
      <c r="C67" s="958"/>
      <c r="D67" s="656" t="s">
        <v>79</v>
      </c>
      <c r="E67" s="464"/>
      <c r="F67" s="445"/>
      <c r="G67" s="445"/>
      <c r="H67" s="445"/>
      <c r="I67" s="445"/>
      <c r="J67" s="445"/>
      <c r="K67" s="447">
        <v>500000000</v>
      </c>
      <c r="L67" s="445">
        <f t="shared" si="7"/>
        <v>500000000</v>
      </c>
      <c r="M67" s="394"/>
    </row>
    <row r="68" spans="1:13" ht="43" customHeight="1" thickBot="1" x14ac:dyDescent="0.3">
      <c r="B68" s="957" t="s">
        <v>1040</v>
      </c>
      <c r="C68" s="958"/>
      <c r="D68" s="656" t="s">
        <v>988</v>
      </c>
      <c r="E68" s="464"/>
      <c r="F68" s="445"/>
      <c r="G68" s="445"/>
      <c r="H68" s="445"/>
      <c r="I68" s="445"/>
      <c r="J68" s="445"/>
      <c r="K68" s="447">
        <f>500000000+622491479</f>
        <v>1122491479</v>
      </c>
      <c r="L68" s="445">
        <f>SUM(E68:K68)</f>
        <v>1122491479</v>
      </c>
      <c r="M68" s="394"/>
    </row>
    <row r="69" spans="1:13" ht="27" customHeight="1" thickBot="1" x14ac:dyDescent="0.3">
      <c r="B69" s="957" t="s">
        <v>1041</v>
      </c>
      <c r="C69" s="958"/>
      <c r="D69" s="656" t="s">
        <v>79</v>
      </c>
      <c r="E69" s="464"/>
      <c r="F69" s="445"/>
      <c r="G69" s="445"/>
      <c r="H69" s="445">
        <v>9991548</v>
      </c>
      <c r="I69" s="446"/>
      <c r="J69" s="446"/>
      <c r="K69" s="463"/>
      <c r="L69" s="445">
        <f t="shared" si="7"/>
        <v>9991548</v>
      </c>
      <c r="M69" s="394"/>
    </row>
    <row r="70" spans="1:13" ht="27" customHeight="1" thickBot="1" x14ac:dyDescent="0.3">
      <c r="B70" s="957" t="s">
        <v>1041</v>
      </c>
      <c r="C70" s="958"/>
      <c r="D70" s="656" t="s">
        <v>988</v>
      </c>
      <c r="E70" s="464"/>
      <c r="F70" s="445"/>
      <c r="G70" s="445"/>
      <c r="H70" s="445">
        <v>9991548</v>
      </c>
      <c r="I70" s="446"/>
      <c r="J70" s="446"/>
      <c r="K70" s="463"/>
      <c r="L70" s="445">
        <f>SUM(E70:K70)</f>
        <v>9991548</v>
      </c>
      <c r="M70" s="394"/>
    </row>
    <row r="71" spans="1:13" ht="13.5" thickBot="1" x14ac:dyDescent="0.35">
      <c r="B71" s="955" t="s">
        <v>59</v>
      </c>
      <c r="C71" s="956"/>
      <c r="D71" s="666" t="s">
        <v>79</v>
      </c>
      <c r="E71" s="631">
        <f>E47+E49+E51+E53+E55+E57+E59+E61+E63+E65+E67+E69</f>
        <v>1121299108</v>
      </c>
      <c r="F71" s="631">
        <f t="shared" ref="F71:J71" si="8">F47+F49+F51+F53+F55+F57+F59+F61+F63+F65+F67+F69</f>
        <v>3812798896</v>
      </c>
      <c r="G71" s="631">
        <f t="shared" si="8"/>
        <v>0</v>
      </c>
      <c r="H71" s="631">
        <f t="shared" si="8"/>
        <v>500457411</v>
      </c>
      <c r="I71" s="631">
        <f t="shared" si="8"/>
        <v>8088100</v>
      </c>
      <c r="J71" s="631">
        <f t="shared" si="8"/>
        <v>5760422844</v>
      </c>
      <c r="K71" s="631">
        <f>K47+K49+K51+K53+K55+K57+K59+K61+K63+K65+K67+K69</f>
        <v>1499199150</v>
      </c>
      <c r="L71" s="631">
        <f>L47+L49+L51+L53+L55+L57+L59+L61+L63+L65+L67+L69</f>
        <v>12702265509</v>
      </c>
      <c r="M71" s="394">
        <f>SUM(E71:K71)</f>
        <v>12702265509</v>
      </c>
    </row>
    <row r="72" spans="1:13" ht="13.5" thickBot="1" x14ac:dyDescent="0.35">
      <c r="B72" s="955" t="s">
        <v>59</v>
      </c>
      <c r="C72" s="956"/>
      <c r="D72" s="646" t="s">
        <v>988</v>
      </c>
      <c r="E72" s="631">
        <f>E48+E50+E52+E54+E56+E58+E60+E62+E64+E66+E68+E70</f>
        <v>1125889108</v>
      </c>
      <c r="F72" s="631">
        <f t="shared" ref="F72:L72" si="9">F48+F50+F52+F54+F56+F58+F60+F62+F64+F66+F68+F70</f>
        <v>3963710276</v>
      </c>
      <c r="G72" s="631">
        <f t="shared" si="9"/>
        <v>0</v>
      </c>
      <c r="H72" s="631">
        <f t="shared" si="9"/>
        <v>462802531</v>
      </c>
      <c r="I72" s="631">
        <f t="shared" si="9"/>
        <v>8088100</v>
      </c>
      <c r="J72" s="631">
        <f t="shared" si="9"/>
        <v>5760422844</v>
      </c>
      <c r="K72" s="631">
        <f t="shared" si="9"/>
        <v>2122043187</v>
      </c>
      <c r="L72" s="631">
        <f t="shared" si="9"/>
        <v>13442956046</v>
      </c>
      <c r="M72" s="394"/>
    </row>
    <row r="73" spans="1:13" s="815" customFormat="1" ht="13" x14ac:dyDescent="0.3">
      <c r="A73" s="814"/>
      <c r="E73" s="825" t="s">
        <v>751</v>
      </c>
      <c r="F73" s="825" t="s">
        <v>751</v>
      </c>
      <c r="G73" s="825" t="s">
        <v>751</v>
      </c>
      <c r="H73" s="825" t="s">
        <v>751</v>
      </c>
      <c r="I73" s="825" t="s">
        <v>751</v>
      </c>
      <c r="J73" s="825" t="s">
        <v>751</v>
      </c>
      <c r="K73" s="825" t="s">
        <v>751</v>
      </c>
      <c r="L73" s="825"/>
      <c r="M73" s="826"/>
    </row>
    <row r="74" spans="1:13" ht="15.5" x14ac:dyDescent="0.35">
      <c r="B74" s="3" t="s">
        <v>801</v>
      </c>
      <c r="C74" s="3"/>
      <c r="D74" s="3"/>
      <c r="E74" s="3"/>
      <c r="F74" s="3"/>
      <c r="G74" s="3"/>
      <c r="H74" s="27" t="s">
        <v>787</v>
      </c>
      <c r="I74" s="3"/>
      <c r="J74" s="3"/>
      <c r="K74" s="3"/>
      <c r="L74" s="3" t="s">
        <v>690</v>
      </c>
    </row>
    <row r="75" spans="1:13" ht="13" thickBot="1" x14ac:dyDescent="0.3"/>
    <row r="76" spans="1:13" ht="22.5" customHeight="1" x14ac:dyDescent="0.25">
      <c r="B76" s="924" t="s">
        <v>195</v>
      </c>
      <c r="C76" s="953"/>
      <c r="D76" s="953"/>
      <c r="E76" s="924" t="s">
        <v>189</v>
      </c>
      <c r="F76" s="922" t="s">
        <v>198</v>
      </c>
      <c r="G76" s="922" t="s">
        <v>191</v>
      </c>
      <c r="H76" s="922" t="s">
        <v>192</v>
      </c>
      <c r="I76" s="922" t="s">
        <v>378</v>
      </c>
      <c r="J76" s="922" t="s">
        <v>197</v>
      </c>
      <c r="K76" s="276" t="s">
        <v>82</v>
      </c>
      <c r="L76" s="928" t="s">
        <v>49</v>
      </c>
    </row>
    <row r="77" spans="1:13" x14ac:dyDescent="0.25">
      <c r="B77" s="923"/>
      <c r="C77" s="923"/>
      <c r="D77" s="923"/>
      <c r="E77" s="925"/>
      <c r="F77" s="923"/>
      <c r="G77" s="923"/>
      <c r="H77" s="927"/>
      <c r="I77" s="927"/>
      <c r="J77" s="927"/>
      <c r="K77" s="279" t="s">
        <v>83</v>
      </c>
      <c r="L77" s="929"/>
    </row>
    <row r="78" spans="1:13" ht="21.5" thickBot="1" x14ac:dyDescent="0.3">
      <c r="B78" s="923"/>
      <c r="C78" s="923"/>
      <c r="D78" s="923"/>
      <c r="E78" s="925"/>
      <c r="F78" s="923"/>
      <c r="G78" s="923"/>
      <c r="H78" s="927"/>
      <c r="I78" s="927"/>
      <c r="J78" s="927"/>
      <c r="K78" s="279" t="s">
        <v>194</v>
      </c>
      <c r="L78" s="929"/>
    </row>
    <row r="79" spans="1:13" ht="13" thickBot="1" x14ac:dyDescent="0.3">
      <c r="B79" s="959" t="s">
        <v>199</v>
      </c>
      <c r="C79" s="960"/>
      <c r="D79" s="794" t="s">
        <v>79</v>
      </c>
      <c r="E79" s="467">
        <v>12150000</v>
      </c>
      <c r="F79" s="467"/>
      <c r="G79" s="467"/>
      <c r="H79" s="467"/>
      <c r="I79" s="467"/>
      <c r="J79" s="467"/>
      <c r="K79" s="467"/>
      <c r="L79" s="465">
        <f>SUM(E79:K79)</f>
        <v>12150000</v>
      </c>
    </row>
    <row r="80" spans="1:13" ht="13" thickBot="1" x14ac:dyDescent="0.3">
      <c r="B80" s="961"/>
      <c r="C80" s="962"/>
      <c r="D80" s="794" t="s">
        <v>988</v>
      </c>
      <c r="E80" s="468">
        <v>12150000</v>
      </c>
      <c r="F80" s="467"/>
      <c r="G80" s="467"/>
      <c r="H80" s="467"/>
      <c r="I80" s="467"/>
      <c r="J80" s="467"/>
      <c r="K80" s="467"/>
      <c r="L80" s="465">
        <f t="shared" ref="L80:L86" si="10">SUM(E80:K80)</f>
        <v>12150000</v>
      </c>
    </row>
    <row r="81" spans="2:40" ht="13" thickBot="1" x14ac:dyDescent="0.3">
      <c r="B81" s="959" t="s">
        <v>369</v>
      </c>
      <c r="C81" s="960"/>
      <c r="D81" s="794" t="s">
        <v>79</v>
      </c>
      <c r="E81" s="468">
        <v>0</v>
      </c>
      <c r="F81" s="467"/>
      <c r="G81" s="467"/>
      <c r="H81" s="467"/>
      <c r="I81" s="467"/>
      <c r="J81" s="467"/>
      <c r="K81" s="467"/>
      <c r="L81" s="465">
        <f t="shared" si="10"/>
        <v>0</v>
      </c>
    </row>
    <row r="82" spans="2:40" ht="13" thickBot="1" x14ac:dyDescent="0.3">
      <c r="B82" s="961"/>
      <c r="C82" s="962"/>
      <c r="D82" s="794" t="s">
        <v>988</v>
      </c>
      <c r="E82" s="468"/>
      <c r="F82" s="467"/>
      <c r="G82" s="467"/>
      <c r="H82" s="468"/>
      <c r="I82" s="467"/>
      <c r="J82" s="467"/>
      <c r="K82" s="467"/>
      <c r="L82" s="465">
        <f t="shared" si="10"/>
        <v>0</v>
      </c>
    </row>
    <row r="83" spans="2:40" ht="13" thickBot="1" x14ac:dyDescent="0.3">
      <c r="B83" s="959" t="s">
        <v>433</v>
      </c>
      <c r="C83" s="960"/>
      <c r="D83" s="794" t="s">
        <v>79</v>
      </c>
      <c r="E83" s="468">
        <v>0</v>
      </c>
      <c r="F83" s="467"/>
      <c r="G83" s="467"/>
      <c r="H83" s="468"/>
      <c r="I83" s="467"/>
      <c r="J83" s="467"/>
      <c r="K83" s="467"/>
      <c r="L83" s="465">
        <f t="shared" si="10"/>
        <v>0</v>
      </c>
    </row>
    <row r="84" spans="2:40" ht="13" thickBot="1" x14ac:dyDescent="0.3">
      <c r="B84" s="961"/>
      <c r="C84" s="962"/>
      <c r="D84" s="794" t="s">
        <v>988</v>
      </c>
      <c r="E84" s="468"/>
      <c r="F84" s="468"/>
      <c r="G84" s="468"/>
      <c r="H84" s="468">
        <v>17139181</v>
      </c>
      <c r="I84" s="467"/>
      <c r="J84" s="467"/>
      <c r="K84" s="467"/>
      <c r="L84" s="465">
        <f t="shared" si="10"/>
        <v>17139181</v>
      </c>
    </row>
    <row r="85" spans="2:40" ht="45" customHeight="1" thickBot="1" x14ac:dyDescent="0.3">
      <c r="B85" s="959" t="s">
        <v>1051</v>
      </c>
      <c r="C85" s="960"/>
      <c r="D85" s="794" t="s">
        <v>79</v>
      </c>
      <c r="E85" s="468">
        <v>20552000</v>
      </c>
      <c r="F85" s="468">
        <v>374394740</v>
      </c>
      <c r="G85" s="468">
        <v>593298601</v>
      </c>
      <c r="H85" s="468">
        <v>3600000</v>
      </c>
      <c r="I85" s="467"/>
      <c r="J85" s="467"/>
      <c r="K85" s="467">
        <v>0</v>
      </c>
      <c r="L85" s="465">
        <f t="shared" si="10"/>
        <v>991845341</v>
      </c>
      <c r="M85" s="394">
        <f>SUM(E85:K85)-L85</f>
        <v>0</v>
      </c>
    </row>
    <row r="86" spans="2:40" ht="13" thickBot="1" x14ac:dyDescent="0.3">
      <c r="B86" s="961"/>
      <c r="C86" s="962"/>
      <c r="D86" s="794" t="s">
        <v>988</v>
      </c>
      <c r="E86" s="469">
        <v>20552000</v>
      </c>
      <c r="F86" s="469">
        <v>374394740</v>
      </c>
      <c r="G86" s="469">
        <f>593298601+53855851+7001261</f>
        <v>654155713</v>
      </c>
      <c r="H86" s="469">
        <v>3600000</v>
      </c>
      <c r="I86" s="469"/>
      <c r="J86" s="470"/>
      <c r="K86" s="470">
        <v>9375111</v>
      </c>
      <c r="L86" s="465">
        <f t="shared" si="10"/>
        <v>1062077564</v>
      </c>
      <c r="M86" s="394"/>
    </row>
    <row r="87" spans="2:40" ht="13.5" thickBot="1" x14ac:dyDescent="0.35">
      <c r="B87" s="967" t="s">
        <v>59</v>
      </c>
      <c r="C87" s="968"/>
      <c r="D87" s="793" t="s">
        <v>79</v>
      </c>
      <c r="E87" s="631">
        <f>E85+E83+E81+E79</f>
        <v>32702000</v>
      </c>
      <c r="F87" s="631">
        <f t="shared" ref="F87:L87" si="11">F85+F83+F81+F79</f>
        <v>374394740</v>
      </c>
      <c r="G87" s="631">
        <f t="shared" si="11"/>
        <v>593298601</v>
      </c>
      <c r="H87" s="631">
        <f t="shared" si="11"/>
        <v>3600000</v>
      </c>
      <c r="I87" s="631">
        <f t="shared" si="11"/>
        <v>0</v>
      </c>
      <c r="J87" s="631">
        <f t="shared" si="11"/>
        <v>0</v>
      </c>
      <c r="K87" s="631">
        <f t="shared" si="11"/>
        <v>0</v>
      </c>
      <c r="L87" s="631">
        <f t="shared" si="11"/>
        <v>1003995341</v>
      </c>
      <c r="M87" s="394"/>
    </row>
    <row r="88" spans="2:40" ht="13.5" thickBot="1" x14ac:dyDescent="0.35">
      <c r="B88" s="969" t="s">
        <v>59</v>
      </c>
      <c r="C88" s="969"/>
      <c r="D88" s="634" t="s">
        <v>988</v>
      </c>
      <c r="E88" s="631">
        <f>E80+E82+E84+E86</f>
        <v>32702000</v>
      </c>
      <c r="F88" s="631">
        <f t="shared" ref="F88:K88" si="12">F80+F82+F84+F86</f>
        <v>374394740</v>
      </c>
      <c r="G88" s="631">
        <f t="shared" si="12"/>
        <v>654155713</v>
      </c>
      <c r="H88" s="631">
        <f t="shared" si="12"/>
        <v>20739181</v>
      </c>
      <c r="I88" s="631">
        <f t="shared" si="12"/>
        <v>0</v>
      </c>
      <c r="J88" s="631">
        <f t="shared" si="12"/>
        <v>0</v>
      </c>
      <c r="K88" s="631">
        <f t="shared" si="12"/>
        <v>9375111</v>
      </c>
      <c r="L88" s="631">
        <f>L80+L82+L84+L86</f>
        <v>1091366745</v>
      </c>
      <c r="M88" s="394"/>
    </row>
    <row r="89" spans="2:40" s="1" customFormat="1" ht="13" x14ac:dyDescent="0.3">
      <c r="B89" s="66"/>
      <c r="C89" s="66"/>
      <c r="D89" s="66"/>
      <c r="E89" s="635" t="s">
        <v>751</v>
      </c>
      <c r="F89" s="149"/>
      <c r="G89" s="149"/>
      <c r="H89" s="149"/>
      <c r="I89" s="149"/>
      <c r="J89" s="149"/>
      <c r="K89" s="149"/>
      <c r="L89" s="149"/>
      <c r="M89" s="392"/>
      <c r="N89" s="392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</row>
    <row r="90" spans="2:40" s="1" customFormat="1" ht="15.5" x14ac:dyDescent="0.35">
      <c r="B90" s="255" t="s">
        <v>319</v>
      </c>
      <c r="C90" s="66"/>
      <c r="D90" s="66"/>
      <c r="E90" s="149"/>
      <c r="F90" s="149"/>
      <c r="G90" s="149"/>
      <c r="H90" s="27" t="s">
        <v>787</v>
      </c>
      <c r="I90" s="149"/>
      <c r="J90" s="149"/>
      <c r="K90" s="149"/>
      <c r="L90" s="149" t="s">
        <v>466</v>
      </c>
      <c r="M90" s="392"/>
      <c r="N90" s="392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</row>
    <row r="91" spans="2:40" ht="13.5" thickBot="1" x14ac:dyDescent="0.35">
      <c r="B91" s="66"/>
      <c r="C91" s="66"/>
      <c r="D91" s="66"/>
      <c r="E91" s="149"/>
      <c r="F91" s="149"/>
      <c r="G91" s="149"/>
      <c r="H91" s="149"/>
      <c r="I91" s="149"/>
      <c r="J91" s="149"/>
      <c r="K91" s="149"/>
      <c r="L91" s="149"/>
    </row>
    <row r="92" spans="2:40" x14ac:dyDescent="0.25">
      <c r="B92" s="924" t="s">
        <v>195</v>
      </c>
      <c r="C92" s="953"/>
      <c r="D92" s="953"/>
      <c r="E92" s="924" t="s">
        <v>189</v>
      </c>
      <c r="F92" s="922" t="s">
        <v>198</v>
      </c>
      <c r="G92" s="922" t="s">
        <v>191</v>
      </c>
      <c r="H92" s="922" t="s">
        <v>192</v>
      </c>
      <c r="I92" s="922" t="s">
        <v>378</v>
      </c>
      <c r="J92" s="922" t="s">
        <v>197</v>
      </c>
      <c r="K92" s="276" t="s">
        <v>82</v>
      </c>
      <c r="L92" s="928" t="s">
        <v>49</v>
      </c>
    </row>
    <row r="93" spans="2:40" x14ac:dyDescent="0.25">
      <c r="B93" s="923"/>
      <c r="C93" s="923"/>
      <c r="D93" s="923"/>
      <c r="E93" s="925"/>
      <c r="F93" s="923"/>
      <c r="G93" s="923"/>
      <c r="H93" s="927"/>
      <c r="I93" s="927"/>
      <c r="J93" s="927"/>
      <c r="K93" s="279" t="s">
        <v>83</v>
      </c>
      <c r="L93" s="929"/>
    </row>
    <row r="94" spans="2:40" ht="36" customHeight="1" thickBot="1" x14ac:dyDescent="0.3">
      <c r="B94" s="923"/>
      <c r="C94" s="923"/>
      <c r="D94" s="923"/>
      <c r="E94" s="925"/>
      <c r="F94" s="923"/>
      <c r="G94" s="923"/>
      <c r="H94" s="927"/>
      <c r="I94" s="927"/>
      <c r="J94" s="927"/>
      <c r="K94" s="279" t="s">
        <v>194</v>
      </c>
      <c r="L94" s="929"/>
    </row>
    <row r="95" spans="2:40" ht="13.5" thickBot="1" x14ac:dyDescent="0.35">
      <c r="B95" s="963" t="s">
        <v>1052</v>
      </c>
      <c r="C95" s="964"/>
      <c r="D95" s="795" t="s">
        <v>79</v>
      </c>
      <c r="E95" s="632">
        <v>700000</v>
      </c>
      <c r="F95" s="632"/>
      <c r="G95" s="633">
        <v>104029666</v>
      </c>
      <c r="H95" s="632"/>
      <c r="I95" s="632"/>
      <c r="J95" s="632"/>
      <c r="K95" s="632"/>
      <c r="L95" s="632">
        <f>SUM(E95:K95)</f>
        <v>104729666</v>
      </c>
      <c r="M95" s="394">
        <f>L95-K95-J95-I95-H95-G95-F95-E95</f>
        <v>0</v>
      </c>
      <c r="N95" s="390" t="s">
        <v>751</v>
      </c>
    </row>
    <row r="96" spans="2:40" ht="18.649999999999999" customHeight="1" thickBot="1" x14ac:dyDescent="0.35">
      <c r="B96" s="965"/>
      <c r="C96" s="966"/>
      <c r="D96" s="795" t="s">
        <v>988</v>
      </c>
      <c r="E96" s="632">
        <v>700000</v>
      </c>
      <c r="F96" s="632"/>
      <c r="G96" s="633">
        <f>104029666+5427102+705523</f>
        <v>110162291</v>
      </c>
      <c r="H96" s="632"/>
      <c r="I96" s="632"/>
      <c r="J96" s="632"/>
      <c r="K96" s="632">
        <v>2793730</v>
      </c>
      <c r="L96" s="632">
        <f>SUM(E96:K96)</f>
        <v>113656021</v>
      </c>
      <c r="M96" s="394"/>
    </row>
    <row r="97" spans="2:12" ht="13.5" thickBot="1" x14ac:dyDescent="0.35">
      <c r="B97" s="970" t="s">
        <v>59</v>
      </c>
      <c r="C97" s="971"/>
      <c r="D97" s="666" t="s">
        <v>79</v>
      </c>
      <c r="E97" s="631">
        <f>E95</f>
        <v>700000</v>
      </c>
      <c r="F97" s="631">
        <v>0</v>
      </c>
      <c r="G97" s="631">
        <f>G95</f>
        <v>104029666</v>
      </c>
      <c r="H97" s="631">
        <v>0</v>
      </c>
      <c r="I97" s="631">
        <v>0</v>
      </c>
      <c r="J97" s="631">
        <f>J95</f>
        <v>0</v>
      </c>
      <c r="K97" s="631">
        <v>0</v>
      </c>
      <c r="L97" s="631">
        <f>L95</f>
        <v>104729666</v>
      </c>
    </row>
    <row r="98" spans="2:12" ht="13.5" thickBot="1" x14ac:dyDescent="0.35">
      <c r="B98" s="970" t="s">
        <v>59</v>
      </c>
      <c r="C98" s="971"/>
      <c r="D98" s="666" t="s">
        <v>988</v>
      </c>
      <c r="E98" s="631">
        <f>E96</f>
        <v>700000</v>
      </c>
      <c r="F98" s="631">
        <f t="shared" ref="F98:L98" si="13">F96</f>
        <v>0</v>
      </c>
      <c r="G98" s="631">
        <f t="shared" si="13"/>
        <v>110162291</v>
      </c>
      <c r="H98" s="631">
        <f t="shared" si="13"/>
        <v>0</v>
      </c>
      <c r="I98" s="631">
        <f t="shared" si="13"/>
        <v>0</v>
      </c>
      <c r="J98" s="631">
        <f t="shared" si="13"/>
        <v>0</v>
      </c>
      <c r="K98" s="631">
        <f t="shared" si="13"/>
        <v>2793730</v>
      </c>
      <c r="L98" s="631">
        <f t="shared" si="13"/>
        <v>113656021</v>
      </c>
    </row>
    <row r="100" spans="2:12" ht="13" x14ac:dyDescent="0.3">
      <c r="B100" s="3" t="s">
        <v>320</v>
      </c>
      <c r="I100" s="275"/>
      <c r="K100" s="375" t="s">
        <v>787</v>
      </c>
      <c r="L100" s="3" t="s">
        <v>704</v>
      </c>
    </row>
    <row r="101" spans="2:12" ht="13.5" thickBot="1" x14ac:dyDescent="0.35">
      <c r="K101" s="3" t="s">
        <v>467</v>
      </c>
    </row>
    <row r="102" spans="2:12" x14ac:dyDescent="0.25">
      <c r="B102" s="924" t="s">
        <v>195</v>
      </c>
      <c r="C102" s="953"/>
      <c r="D102" s="953"/>
      <c r="E102" s="924" t="s">
        <v>189</v>
      </c>
      <c r="F102" s="922" t="s">
        <v>198</v>
      </c>
      <c r="G102" s="922" t="s">
        <v>191</v>
      </c>
      <c r="H102" s="922" t="s">
        <v>192</v>
      </c>
      <c r="I102" s="922" t="s">
        <v>379</v>
      </c>
      <c r="J102" s="922" t="s">
        <v>197</v>
      </c>
      <c r="K102" s="420" t="s">
        <v>82</v>
      </c>
      <c r="L102" s="928" t="s">
        <v>49</v>
      </c>
    </row>
    <row r="103" spans="2:12" ht="31.5" x14ac:dyDescent="0.25">
      <c r="B103" s="923"/>
      <c r="C103" s="923"/>
      <c r="D103" s="923"/>
      <c r="E103" s="925"/>
      <c r="F103" s="923"/>
      <c r="G103" s="923"/>
      <c r="H103" s="927"/>
      <c r="I103" s="927"/>
      <c r="J103" s="927"/>
      <c r="K103" s="421" t="s">
        <v>567</v>
      </c>
      <c r="L103" s="929"/>
    </row>
    <row r="104" spans="2:12" ht="21.5" thickBot="1" x14ac:dyDescent="0.3">
      <c r="B104" s="954"/>
      <c r="C104" s="954"/>
      <c r="D104" s="954"/>
      <c r="E104" s="925"/>
      <c r="F104" s="923"/>
      <c r="G104" s="923"/>
      <c r="H104" s="927"/>
      <c r="I104" s="927"/>
      <c r="J104" s="927"/>
      <c r="K104" s="421" t="s">
        <v>568</v>
      </c>
      <c r="L104" s="929"/>
    </row>
    <row r="105" spans="2:12" ht="23.5" customHeight="1" thickBot="1" x14ac:dyDescent="0.3">
      <c r="B105" s="957" t="s">
        <v>196</v>
      </c>
      <c r="C105" s="958"/>
      <c r="D105" s="800" t="s">
        <v>79</v>
      </c>
      <c r="E105" s="446">
        <v>398419967</v>
      </c>
      <c r="F105" s="446"/>
      <c r="G105" s="446"/>
      <c r="H105" s="446">
        <v>110800000</v>
      </c>
      <c r="I105" s="446">
        <v>8088100</v>
      </c>
      <c r="J105" s="446"/>
      <c r="K105" s="463"/>
      <c r="L105" s="444">
        <f>E105+F105+G105+H105+I105+J105+K105</f>
        <v>517308067</v>
      </c>
    </row>
    <row r="106" spans="2:12" ht="24" customHeight="1" thickBot="1" x14ac:dyDescent="0.3">
      <c r="B106" s="957" t="s">
        <v>196</v>
      </c>
      <c r="C106" s="958"/>
      <c r="D106" s="800" t="s">
        <v>988</v>
      </c>
      <c r="E106" s="446">
        <v>398419967</v>
      </c>
      <c r="F106" s="446"/>
      <c r="G106" s="446"/>
      <c r="H106" s="446">
        <v>110800000</v>
      </c>
      <c r="I106" s="446">
        <v>8088100</v>
      </c>
      <c r="J106" s="446"/>
      <c r="K106" s="463"/>
      <c r="L106" s="444">
        <f>SUM(E106:K106)</f>
        <v>517308067</v>
      </c>
    </row>
    <row r="107" spans="2:12" ht="36.5" customHeight="1" thickBot="1" x14ac:dyDescent="0.3">
      <c r="B107" s="957" t="s">
        <v>791</v>
      </c>
      <c r="C107" s="958"/>
      <c r="D107" s="800" t="s">
        <v>79</v>
      </c>
      <c r="E107" s="446">
        <v>722879141</v>
      </c>
      <c r="F107" s="446"/>
      <c r="G107" s="446"/>
      <c r="H107" s="446"/>
      <c r="I107" s="446"/>
      <c r="J107" s="446"/>
      <c r="K107" s="463"/>
      <c r="L107" s="445">
        <f>E107+F107+G107+H107+I107+J107+K107</f>
        <v>722879141</v>
      </c>
    </row>
    <row r="108" spans="2:12" ht="34.5" customHeight="1" thickBot="1" x14ac:dyDescent="0.3">
      <c r="B108" s="957" t="s">
        <v>791</v>
      </c>
      <c r="C108" s="958"/>
      <c r="D108" s="800" t="s">
        <v>988</v>
      </c>
      <c r="E108" s="446">
        <f>722879141+4590000</f>
        <v>727469141</v>
      </c>
      <c r="F108" s="446"/>
      <c r="G108" s="446"/>
      <c r="H108" s="446"/>
      <c r="I108" s="446"/>
      <c r="J108" s="446"/>
      <c r="K108" s="463"/>
      <c r="L108" s="444">
        <f>SUM(E108:K108)</f>
        <v>727469141</v>
      </c>
    </row>
    <row r="109" spans="2:12" ht="40" customHeight="1" thickBot="1" x14ac:dyDescent="0.3">
      <c r="B109" s="957" t="s">
        <v>286</v>
      </c>
      <c r="C109" s="958"/>
      <c r="D109" s="800" t="s">
        <v>79</v>
      </c>
      <c r="E109" s="464"/>
      <c r="F109" s="446"/>
      <c r="G109" s="446"/>
      <c r="H109" s="464"/>
      <c r="I109" s="464"/>
      <c r="J109" s="464">
        <v>5760422844</v>
      </c>
      <c r="K109" s="465"/>
      <c r="L109" s="444">
        <f>E109+F109+G109+H109+I109+J109+K109</f>
        <v>5760422844</v>
      </c>
    </row>
    <row r="110" spans="2:12" ht="44" customHeight="1" thickBot="1" x14ac:dyDescent="0.3">
      <c r="B110" s="957" t="s">
        <v>286</v>
      </c>
      <c r="C110" s="958"/>
      <c r="D110" s="800" t="s">
        <v>988</v>
      </c>
      <c r="E110" s="464"/>
      <c r="F110" s="446"/>
      <c r="G110" s="446"/>
      <c r="H110" s="464"/>
      <c r="I110" s="445"/>
      <c r="J110" s="445">
        <v>5760422844</v>
      </c>
      <c r="K110" s="444"/>
      <c r="L110" s="444">
        <f t="shared" ref="L110:L116" si="14">SUM(E110:K110)</f>
        <v>5760422844</v>
      </c>
    </row>
    <row r="111" spans="2:12" ht="49" customHeight="1" thickBot="1" x14ac:dyDescent="0.3">
      <c r="B111" s="957" t="s">
        <v>792</v>
      </c>
      <c r="C111" s="958"/>
      <c r="D111" s="800" t="s">
        <v>79</v>
      </c>
      <c r="E111" s="464"/>
      <c r="F111" s="445"/>
      <c r="G111" s="445"/>
      <c r="H111" s="464">
        <v>36613476</v>
      </c>
      <c r="I111" s="446"/>
      <c r="J111" s="446"/>
      <c r="K111" s="463"/>
      <c r="L111" s="464">
        <f t="shared" si="14"/>
        <v>36613476</v>
      </c>
    </row>
    <row r="112" spans="2:12" ht="54.5" customHeight="1" thickBot="1" x14ac:dyDescent="0.3">
      <c r="B112" s="957" t="s">
        <v>792</v>
      </c>
      <c r="C112" s="958"/>
      <c r="D112" s="800" t="s">
        <v>988</v>
      </c>
      <c r="E112" s="464"/>
      <c r="F112" s="445"/>
      <c r="G112" s="445"/>
      <c r="H112" s="445">
        <v>36613476</v>
      </c>
      <c r="I112" s="446"/>
      <c r="J112" s="446"/>
      <c r="K112" s="463"/>
      <c r="L112" s="445">
        <f t="shared" si="14"/>
        <v>36613476</v>
      </c>
    </row>
    <row r="113" spans="2:12" ht="62" customHeight="1" thickBot="1" x14ac:dyDescent="0.3">
      <c r="B113" s="957" t="s">
        <v>793</v>
      </c>
      <c r="C113" s="958"/>
      <c r="D113" s="800" t="s">
        <v>79</v>
      </c>
      <c r="E113" s="464"/>
      <c r="F113" s="445"/>
      <c r="G113" s="445"/>
      <c r="H113" s="445">
        <v>67932000</v>
      </c>
      <c r="I113" s="446"/>
      <c r="J113" s="446"/>
      <c r="K113" s="463"/>
      <c r="L113" s="445">
        <f t="shared" si="14"/>
        <v>67932000</v>
      </c>
    </row>
    <row r="114" spans="2:12" ht="63" customHeight="1" thickBot="1" x14ac:dyDescent="0.3">
      <c r="B114" s="957" t="s">
        <v>793</v>
      </c>
      <c r="C114" s="958"/>
      <c r="D114" s="800" t="s">
        <v>988</v>
      </c>
      <c r="E114" s="464"/>
      <c r="F114" s="445"/>
      <c r="G114" s="445"/>
      <c r="H114" s="445">
        <f>67932000-64117184</f>
        <v>3814816</v>
      </c>
      <c r="I114" s="446"/>
      <c r="J114" s="446"/>
      <c r="K114" s="463"/>
      <c r="L114" s="445">
        <f t="shared" si="14"/>
        <v>3814816</v>
      </c>
    </row>
    <row r="115" spans="2:12" ht="64.5" customHeight="1" thickBot="1" x14ac:dyDescent="0.3">
      <c r="B115" s="957" t="s">
        <v>304</v>
      </c>
      <c r="C115" s="958"/>
      <c r="D115" s="800" t="s">
        <v>79</v>
      </c>
      <c r="E115" s="464"/>
      <c r="F115" s="445"/>
      <c r="G115" s="445"/>
      <c r="H115" s="445">
        <v>183440448</v>
      </c>
      <c r="I115" s="446"/>
      <c r="J115" s="446"/>
      <c r="K115" s="463"/>
      <c r="L115" s="445">
        <f t="shared" si="14"/>
        <v>183440448</v>
      </c>
    </row>
    <row r="116" spans="2:12" ht="61" customHeight="1" thickBot="1" x14ac:dyDescent="0.3">
      <c r="B116" s="957" t="s">
        <v>304</v>
      </c>
      <c r="C116" s="958"/>
      <c r="D116" s="800" t="s">
        <v>988</v>
      </c>
      <c r="E116" s="464"/>
      <c r="F116" s="445"/>
      <c r="G116" s="445"/>
      <c r="H116" s="445">
        <v>183440448</v>
      </c>
      <c r="I116" s="446"/>
      <c r="J116" s="446"/>
      <c r="K116" s="463"/>
      <c r="L116" s="445">
        <f t="shared" si="14"/>
        <v>183440448</v>
      </c>
    </row>
    <row r="117" spans="2:12" ht="64" customHeight="1" thickBot="1" x14ac:dyDescent="0.3">
      <c r="B117" s="957" t="s">
        <v>429</v>
      </c>
      <c r="C117" s="958"/>
      <c r="D117" s="800" t="s">
        <v>79</v>
      </c>
      <c r="E117" s="464"/>
      <c r="F117" s="445"/>
      <c r="G117" s="445"/>
      <c r="H117" s="445">
        <v>91679939</v>
      </c>
      <c r="I117" s="446"/>
      <c r="J117" s="446"/>
      <c r="K117" s="463"/>
      <c r="L117" s="445">
        <f>E117+F117+G117+H117+I117+J117+K117</f>
        <v>91679939</v>
      </c>
    </row>
    <row r="118" spans="2:12" ht="62.5" customHeight="1" thickBot="1" x14ac:dyDescent="0.3">
      <c r="B118" s="957" t="s">
        <v>429</v>
      </c>
      <c r="C118" s="958"/>
      <c r="D118" s="800" t="s">
        <v>988</v>
      </c>
      <c r="E118" s="464"/>
      <c r="F118" s="445"/>
      <c r="G118" s="445"/>
      <c r="H118" s="445">
        <f>91679939+26462304</f>
        <v>118142243</v>
      </c>
      <c r="I118" s="446"/>
      <c r="J118" s="446"/>
      <c r="K118" s="466"/>
      <c r="L118" s="445">
        <f>SUM(E118:K118)</f>
        <v>118142243</v>
      </c>
    </row>
    <row r="119" spans="2:12" ht="52.5" customHeight="1" thickBot="1" x14ac:dyDescent="0.3">
      <c r="B119" s="957" t="s">
        <v>570</v>
      </c>
      <c r="C119" s="958"/>
      <c r="D119" s="800" t="s">
        <v>79</v>
      </c>
      <c r="E119" s="464"/>
      <c r="F119" s="445">
        <v>3812798896</v>
      </c>
      <c r="G119" s="445"/>
      <c r="H119" s="445"/>
      <c r="I119" s="446"/>
      <c r="J119" s="446"/>
      <c r="K119" s="466">
        <v>132053794</v>
      </c>
      <c r="L119" s="445">
        <f t="shared" ref="L119" si="15">E119+F119+G119+H119+I119+J119+K119</f>
        <v>3944852690</v>
      </c>
    </row>
    <row r="120" spans="2:12" ht="54" customHeight="1" thickBot="1" x14ac:dyDescent="0.3">
      <c r="B120" s="957" t="s">
        <v>570</v>
      </c>
      <c r="C120" s="958"/>
      <c r="D120" s="800" t="s">
        <v>988</v>
      </c>
      <c r="E120" s="464"/>
      <c r="F120" s="445">
        <f>3812798896+85122294+511212+1160690+64117184</f>
        <v>3963710276</v>
      </c>
      <c r="G120" s="445"/>
      <c r="H120" s="445"/>
      <c r="I120" s="446"/>
      <c r="J120" s="446"/>
      <c r="K120" s="466">
        <f>132053794+352558</f>
        <v>132406352</v>
      </c>
      <c r="L120" s="445">
        <f>SUM(E120:K120)</f>
        <v>4096116628</v>
      </c>
    </row>
    <row r="121" spans="2:12" ht="35.15" customHeight="1" thickBot="1" x14ac:dyDescent="0.3">
      <c r="B121" s="957" t="s">
        <v>571</v>
      </c>
      <c r="C121" s="958"/>
      <c r="D121" s="800" t="s">
        <v>79</v>
      </c>
      <c r="E121" s="464"/>
      <c r="F121" s="445"/>
      <c r="G121" s="445"/>
      <c r="H121" s="445"/>
      <c r="I121" s="446"/>
      <c r="J121" s="446"/>
      <c r="K121" s="466">
        <f>248900000+618245356</f>
        <v>867145356</v>
      </c>
      <c r="L121" s="445">
        <f t="shared" ref="L121" si="16">E121+F121+G121+H121+I121+J121+K121</f>
        <v>867145356</v>
      </c>
    </row>
    <row r="122" spans="2:12" ht="35.15" customHeight="1" thickBot="1" x14ac:dyDescent="0.3">
      <c r="B122" s="957" t="s">
        <v>1038</v>
      </c>
      <c r="C122" s="958"/>
      <c r="D122" s="800" t="s">
        <v>988</v>
      </c>
      <c r="E122" s="464"/>
      <c r="F122" s="445"/>
      <c r="G122" s="445"/>
      <c r="H122" s="445"/>
      <c r="I122" s="446"/>
      <c r="J122" s="446"/>
      <c r="K122" s="466">
        <v>867145356</v>
      </c>
      <c r="L122" s="445">
        <f>SUM(E122:K122)</f>
        <v>867145356</v>
      </c>
    </row>
    <row r="123" spans="2:12" ht="47.5" customHeight="1" thickBot="1" x14ac:dyDescent="0.3">
      <c r="B123" s="957" t="s">
        <v>1039</v>
      </c>
      <c r="C123" s="958"/>
      <c r="D123" s="800" t="s">
        <v>79</v>
      </c>
      <c r="E123" s="464"/>
      <c r="F123" s="445"/>
      <c r="G123" s="445"/>
      <c r="H123" s="445"/>
      <c r="I123" s="445"/>
      <c r="J123" s="445"/>
      <c r="K123" s="447"/>
      <c r="L123" s="445">
        <f t="shared" ref="L123" si="17">E123+F123+G123+H123+I123+J123+K123</f>
        <v>0</v>
      </c>
    </row>
    <row r="124" spans="2:12" ht="41.5" customHeight="1" thickBot="1" x14ac:dyDescent="0.3">
      <c r="B124" s="957" t="s">
        <v>1039</v>
      </c>
      <c r="C124" s="958"/>
      <c r="D124" s="800" t="s">
        <v>988</v>
      </c>
      <c r="E124" s="464"/>
      <c r="F124" s="445"/>
      <c r="G124" s="445"/>
      <c r="H124" s="445"/>
      <c r="I124" s="445"/>
      <c r="J124" s="445"/>
      <c r="K124" s="447"/>
      <c r="L124" s="445">
        <v>0</v>
      </c>
    </row>
    <row r="125" spans="2:12" ht="42" customHeight="1" thickBot="1" x14ac:dyDescent="0.3">
      <c r="B125" s="957" t="s">
        <v>1040</v>
      </c>
      <c r="C125" s="958"/>
      <c r="D125" s="800" t="s">
        <v>79</v>
      </c>
      <c r="E125" s="464"/>
      <c r="F125" s="445"/>
      <c r="G125" s="445"/>
      <c r="H125" s="445"/>
      <c r="I125" s="445"/>
      <c r="J125" s="445"/>
      <c r="K125" s="447">
        <v>500000000</v>
      </c>
      <c r="L125" s="445">
        <f t="shared" ref="L125" si="18">E125+F125+G125+H125+I125+J125+K125</f>
        <v>500000000</v>
      </c>
    </row>
    <row r="126" spans="2:12" ht="42" customHeight="1" thickBot="1" x14ac:dyDescent="0.3">
      <c r="B126" s="957" t="s">
        <v>1040</v>
      </c>
      <c r="C126" s="958"/>
      <c r="D126" s="800" t="s">
        <v>988</v>
      </c>
      <c r="E126" s="464"/>
      <c r="F126" s="445"/>
      <c r="G126" s="445"/>
      <c r="H126" s="445"/>
      <c r="I126" s="445"/>
      <c r="J126" s="445"/>
      <c r="K126" s="447">
        <f>500000000+622491479</f>
        <v>1122491479</v>
      </c>
      <c r="L126" s="445">
        <f>SUM(E126:K126)</f>
        <v>1122491479</v>
      </c>
    </row>
    <row r="127" spans="2:12" ht="28" customHeight="1" thickBot="1" x14ac:dyDescent="0.3">
      <c r="B127" s="957" t="s">
        <v>1041</v>
      </c>
      <c r="C127" s="958"/>
      <c r="D127" s="800" t="s">
        <v>79</v>
      </c>
      <c r="E127" s="464"/>
      <c r="F127" s="445"/>
      <c r="G127" s="445"/>
      <c r="H127" s="445">
        <v>9991548</v>
      </c>
      <c r="I127" s="446"/>
      <c r="J127" s="446"/>
      <c r="K127" s="463"/>
      <c r="L127" s="445">
        <f t="shared" ref="L127" si="19">E127+F127+G127+H127+I127+J127+K127</f>
        <v>9991548</v>
      </c>
    </row>
    <row r="128" spans="2:12" ht="28" customHeight="1" thickBot="1" x14ac:dyDescent="0.3">
      <c r="B128" s="957" t="s">
        <v>1041</v>
      </c>
      <c r="C128" s="958"/>
      <c r="D128" s="800" t="s">
        <v>988</v>
      </c>
      <c r="E128" s="464"/>
      <c r="F128" s="445"/>
      <c r="G128" s="445"/>
      <c r="H128" s="445">
        <v>9991548</v>
      </c>
      <c r="I128" s="446"/>
      <c r="J128" s="446"/>
      <c r="K128" s="463"/>
      <c r="L128" s="445">
        <f>SUM(E128:K128)</f>
        <v>9991548</v>
      </c>
    </row>
    <row r="129" spans="2:12" ht="13.5" thickBot="1" x14ac:dyDescent="0.35">
      <c r="B129" s="955" t="s">
        <v>59</v>
      </c>
      <c r="C129" s="956"/>
      <c r="D129" s="666" t="s">
        <v>79</v>
      </c>
      <c r="E129" s="631">
        <f>E105+E107+E109+E111+E113+E115+E117+E119+E121+E123+E125+E127</f>
        <v>1121299108</v>
      </c>
      <c r="F129" s="631">
        <f t="shared" ref="F129:J129" si="20">F105+F107+F109+F111+F113+F115+F117+F119+F121+F123+F125+F127</f>
        <v>3812798896</v>
      </c>
      <c r="G129" s="631">
        <f t="shared" si="20"/>
        <v>0</v>
      </c>
      <c r="H129" s="631">
        <f t="shared" si="20"/>
        <v>500457411</v>
      </c>
      <c r="I129" s="631">
        <f t="shared" si="20"/>
        <v>8088100</v>
      </c>
      <c r="J129" s="631">
        <f t="shared" si="20"/>
        <v>5760422844</v>
      </c>
      <c r="K129" s="631">
        <f>K105+K107+K109+K111+K113+K115+K117+K119+K121+K123+K125+K127</f>
        <v>1499199150</v>
      </c>
      <c r="L129" s="631">
        <f>L105+L107+L109+L111+L113+L115+L117+L119+L121+L123+L125+L127</f>
        <v>12702265509</v>
      </c>
    </row>
    <row r="130" spans="2:12" ht="13.5" thickBot="1" x14ac:dyDescent="0.35">
      <c r="B130" s="955" t="s">
        <v>59</v>
      </c>
      <c r="C130" s="956"/>
      <c r="D130" s="646" t="s">
        <v>988</v>
      </c>
      <c r="E130" s="631">
        <f>E106+E108+E110+E112+E114+E116+E118+E120+E122+E124+E126+E128</f>
        <v>1125889108</v>
      </c>
      <c r="F130" s="631">
        <f t="shared" ref="F130:L130" si="21">F106+F108+F110+F112+F114+F116+F118+F120+F122+F124+F126+F128</f>
        <v>3963710276</v>
      </c>
      <c r="G130" s="631">
        <f t="shared" si="21"/>
        <v>0</v>
      </c>
      <c r="H130" s="631">
        <f t="shared" si="21"/>
        <v>462802531</v>
      </c>
      <c r="I130" s="631">
        <f t="shared" si="21"/>
        <v>8088100</v>
      </c>
      <c r="J130" s="631">
        <f t="shared" si="21"/>
        <v>5760422844</v>
      </c>
      <c r="K130" s="631">
        <f t="shared" si="21"/>
        <v>2122043187</v>
      </c>
      <c r="L130" s="631">
        <f t="shared" si="21"/>
        <v>13442956046</v>
      </c>
    </row>
    <row r="131" spans="2:12" x14ac:dyDescent="0.25">
      <c r="B131" s="924" t="s">
        <v>195</v>
      </c>
      <c r="C131" s="953"/>
      <c r="D131" s="953"/>
      <c r="E131" s="924" t="s">
        <v>189</v>
      </c>
      <c r="F131" s="922" t="s">
        <v>198</v>
      </c>
      <c r="G131" s="922" t="s">
        <v>191</v>
      </c>
      <c r="H131" s="922" t="s">
        <v>192</v>
      </c>
      <c r="I131" s="922" t="s">
        <v>378</v>
      </c>
      <c r="J131" s="922" t="s">
        <v>197</v>
      </c>
      <c r="K131" s="582" t="s">
        <v>82</v>
      </c>
      <c r="L131" s="928" t="s">
        <v>49</v>
      </c>
    </row>
    <row r="132" spans="2:12" x14ac:dyDescent="0.25">
      <c r="B132" s="923"/>
      <c r="C132" s="923"/>
      <c r="D132" s="923"/>
      <c r="E132" s="925"/>
      <c r="F132" s="923"/>
      <c r="G132" s="923"/>
      <c r="H132" s="927"/>
      <c r="I132" s="927"/>
      <c r="J132" s="927"/>
      <c r="K132" s="583" t="s">
        <v>83</v>
      </c>
      <c r="L132" s="929"/>
    </row>
    <row r="133" spans="2:12" ht="21.5" thickBot="1" x14ac:dyDescent="0.3">
      <c r="B133" s="923"/>
      <c r="C133" s="923"/>
      <c r="D133" s="923"/>
      <c r="E133" s="925"/>
      <c r="F133" s="923"/>
      <c r="G133" s="923"/>
      <c r="H133" s="927"/>
      <c r="I133" s="927"/>
      <c r="J133" s="927"/>
      <c r="K133" s="583" t="s">
        <v>194</v>
      </c>
      <c r="L133" s="929"/>
    </row>
    <row r="134" spans="2:12" ht="13" customHeight="1" thickBot="1" x14ac:dyDescent="0.3">
      <c r="B134" s="959" t="s">
        <v>199</v>
      </c>
      <c r="C134" s="960"/>
      <c r="D134" s="794" t="s">
        <v>79</v>
      </c>
      <c r="E134" s="467">
        <v>12150000</v>
      </c>
      <c r="F134" s="467"/>
      <c r="G134" s="467"/>
      <c r="H134" s="467"/>
      <c r="I134" s="467"/>
      <c r="J134" s="467"/>
      <c r="K134" s="467"/>
      <c r="L134" s="465">
        <f>SUM(E134:K134)</f>
        <v>12150000</v>
      </c>
    </row>
    <row r="135" spans="2:12" ht="13" thickBot="1" x14ac:dyDescent="0.3">
      <c r="B135" s="961"/>
      <c r="C135" s="962"/>
      <c r="D135" s="794" t="s">
        <v>988</v>
      </c>
      <c r="E135" s="468">
        <v>12150000</v>
      </c>
      <c r="F135" s="467"/>
      <c r="G135" s="467"/>
      <c r="H135" s="467"/>
      <c r="I135" s="467"/>
      <c r="J135" s="467"/>
      <c r="K135" s="467"/>
      <c r="L135" s="465">
        <f t="shared" ref="L135:L141" si="22">SUM(E135:K135)</f>
        <v>12150000</v>
      </c>
    </row>
    <row r="136" spans="2:12" ht="13" customHeight="1" thickBot="1" x14ac:dyDescent="0.3">
      <c r="B136" s="959" t="s">
        <v>369</v>
      </c>
      <c r="C136" s="960"/>
      <c r="D136" s="794" t="s">
        <v>79</v>
      </c>
      <c r="E136" s="468">
        <v>0</v>
      </c>
      <c r="F136" s="467"/>
      <c r="G136" s="467"/>
      <c r="H136" s="467"/>
      <c r="I136" s="467"/>
      <c r="J136" s="467"/>
      <c r="K136" s="467"/>
      <c r="L136" s="465">
        <f t="shared" si="22"/>
        <v>0</v>
      </c>
    </row>
    <row r="137" spans="2:12" ht="13" thickBot="1" x14ac:dyDescent="0.3">
      <c r="B137" s="961"/>
      <c r="C137" s="962"/>
      <c r="D137" s="794" t="s">
        <v>988</v>
      </c>
      <c r="E137" s="468"/>
      <c r="F137" s="467"/>
      <c r="G137" s="467"/>
      <c r="H137" s="468"/>
      <c r="I137" s="467"/>
      <c r="J137" s="467"/>
      <c r="K137" s="467"/>
      <c r="L137" s="465">
        <f t="shared" si="22"/>
        <v>0</v>
      </c>
    </row>
    <row r="138" spans="2:12" ht="13" customHeight="1" thickBot="1" x14ac:dyDescent="0.3">
      <c r="B138" s="959" t="s">
        <v>433</v>
      </c>
      <c r="C138" s="960"/>
      <c r="D138" s="794" t="s">
        <v>79</v>
      </c>
      <c r="E138" s="468">
        <v>0</v>
      </c>
      <c r="F138" s="467"/>
      <c r="G138" s="467"/>
      <c r="H138" s="468"/>
      <c r="I138" s="467"/>
      <c r="J138" s="467"/>
      <c r="K138" s="467"/>
      <c r="L138" s="465">
        <f t="shared" si="22"/>
        <v>0</v>
      </c>
    </row>
    <row r="139" spans="2:12" ht="13" thickBot="1" x14ac:dyDescent="0.3">
      <c r="B139" s="961"/>
      <c r="C139" s="962"/>
      <c r="D139" s="794" t="s">
        <v>988</v>
      </c>
      <c r="E139" s="468"/>
      <c r="F139" s="468"/>
      <c r="G139" s="468"/>
      <c r="H139" s="468">
        <v>17139181</v>
      </c>
      <c r="I139" s="467"/>
      <c r="J139" s="467"/>
      <c r="K139" s="467"/>
      <c r="L139" s="465">
        <f t="shared" si="22"/>
        <v>17139181</v>
      </c>
    </row>
    <row r="140" spans="2:12" ht="23" customHeight="1" thickBot="1" x14ac:dyDescent="0.3">
      <c r="B140" s="959" t="s">
        <v>1051</v>
      </c>
      <c r="C140" s="960"/>
      <c r="D140" s="794" t="s">
        <v>79</v>
      </c>
      <c r="E140" s="468">
        <v>20552000</v>
      </c>
      <c r="F140" s="468">
        <v>374394740</v>
      </c>
      <c r="G140" s="468">
        <v>593298601</v>
      </c>
      <c r="H140" s="468">
        <v>3600000</v>
      </c>
      <c r="I140" s="467"/>
      <c r="J140" s="467"/>
      <c r="K140" s="467">
        <v>0</v>
      </c>
      <c r="L140" s="465">
        <f t="shared" si="22"/>
        <v>991845341</v>
      </c>
    </row>
    <row r="141" spans="2:12" ht="19" customHeight="1" thickBot="1" x14ac:dyDescent="0.3">
      <c r="B141" s="961"/>
      <c r="C141" s="962"/>
      <c r="D141" s="794" t="s">
        <v>988</v>
      </c>
      <c r="E141" s="469">
        <v>20552000</v>
      </c>
      <c r="F141" s="469">
        <v>374394740</v>
      </c>
      <c r="G141" s="469">
        <f>593298601+53855851+7001261</f>
        <v>654155713</v>
      </c>
      <c r="H141" s="469">
        <v>3600000</v>
      </c>
      <c r="I141" s="469"/>
      <c r="J141" s="470"/>
      <c r="K141" s="470">
        <v>9375111</v>
      </c>
      <c r="L141" s="465">
        <f t="shared" si="22"/>
        <v>1062077564</v>
      </c>
    </row>
    <row r="142" spans="2:12" ht="13.5" thickBot="1" x14ac:dyDescent="0.35">
      <c r="B142" s="967" t="s">
        <v>59</v>
      </c>
      <c r="C142" s="968"/>
      <c r="D142" s="793" t="s">
        <v>79</v>
      </c>
      <c r="E142" s="631">
        <f>E140+E138+E136+E134</f>
        <v>32702000</v>
      </c>
      <c r="F142" s="631">
        <f t="shared" ref="F142:L142" si="23">F140+F138+F136+F134</f>
        <v>374394740</v>
      </c>
      <c r="G142" s="631">
        <f t="shared" si="23"/>
        <v>593298601</v>
      </c>
      <c r="H142" s="631">
        <f t="shared" si="23"/>
        <v>3600000</v>
      </c>
      <c r="I142" s="631">
        <f t="shared" si="23"/>
        <v>0</v>
      </c>
      <c r="J142" s="631">
        <f t="shared" si="23"/>
        <v>0</v>
      </c>
      <c r="K142" s="631">
        <f t="shared" si="23"/>
        <v>0</v>
      </c>
      <c r="L142" s="631">
        <f t="shared" si="23"/>
        <v>1003995341</v>
      </c>
    </row>
    <row r="143" spans="2:12" ht="13.5" thickBot="1" x14ac:dyDescent="0.35">
      <c r="B143" s="969" t="s">
        <v>59</v>
      </c>
      <c r="C143" s="969"/>
      <c r="D143" s="634" t="s">
        <v>988</v>
      </c>
      <c r="E143" s="631">
        <f>E135+E137+E139+E141</f>
        <v>32702000</v>
      </c>
      <c r="F143" s="631">
        <f t="shared" ref="F143:K143" si="24">F135+F137+F139+F141</f>
        <v>374394740</v>
      </c>
      <c r="G143" s="631">
        <f t="shared" si="24"/>
        <v>654155713</v>
      </c>
      <c r="H143" s="631">
        <f t="shared" si="24"/>
        <v>20739181</v>
      </c>
      <c r="I143" s="631">
        <f t="shared" si="24"/>
        <v>0</v>
      </c>
      <c r="J143" s="631">
        <f t="shared" si="24"/>
        <v>0</v>
      </c>
      <c r="K143" s="631">
        <f t="shared" si="24"/>
        <v>9375111</v>
      </c>
      <c r="L143" s="631">
        <f>L135+L137+L139+L141</f>
        <v>1091366745</v>
      </c>
    </row>
    <row r="144" spans="2:12" ht="16.25" customHeight="1" thickBot="1" x14ac:dyDescent="0.35">
      <c r="B144" s="963" t="s">
        <v>1052</v>
      </c>
      <c r="C144" s="964"/>
      <c r="D144" s="795" t="s">
        <v>79</v>
      </c>
      <c r="E144" s="632">
        <v>700000</v>
      </c>
      <c r="F144" s="632"/>
      <c r="G144" s="633">
        <v>104029666</v>
      </c>
      <c r="H144" s="632"/>
      <c r="I144" s="632"/>
      <c r="J144" s="632"/>
      <c r="K144" s="632"/>
      <c r="L144" s="632">
        <f>SUM(E144:K144)</f>
        <v>104729666</v>
      </c>
    </row>
    <row r="145" spans="1:13" ht="17.399999999999999" customHeight="1" thickBot="1" x14ac:dyDescent="0.35">
      <c r="B145" s="965"/>
      <c r="C145" s="966"/>
      <c r="D145" s="795" t="s">
        <v>988</v>
      </c>
      <c r="E145" s="632">
        <v>700000</v>
      </c>
      <c r="F145" s="632"/>
      <c r="G145" s="633">
        <f>104029666+5427102+705523</f>
        <v>110162291</v>
      </c>
      <c r="H145" s="632"/>
      <c r="I145" s="632"/>
      <c r="J145" s="632"/>
      <c r="K145" s="632">
        <v>2793730</v>
      </c>
      <c r="L145" s="632">
        <f>SUM(E145:K145)</f>
        <v>113656021</v>
      </c>
    </row>
    <row r="146" spans="1:13" ht="13.5" thickBot="1" x14ac:dyDescent="0.35">
      <c r="B146" s="970" t="s">
        <v>59</v>
      </c>
      <c r="C146" s="971"/>
      <c r="D146" s="666" t="s">
        <v>79</v>
      </c>
      <c r="E146" s="631">
        <f>E144</f>
        <v>700000</v>
      </c>
      <c r="F146" s="631">
        <v>0</v>
      </c>
      <c r="G146" s="631">
        <f>G144</f>
        <v>104029666</v>
      </c>
      <c r="H146" s="631">
        <v>0</v>
      </c>
      <c r="I146" s="631">
        <v>0</v>
      </c>
      <c r="J146" s="631">
        <f>J144</f>
        <v>0</v>
      </c>
      <c r="K146" s="631">
        <v>0</v>
      </c>
      <c r="L146" s="631">
        <f>L144</f>
        <v>104729666</v>
      </c>
    </row>
    <row r="147" spans="1:13" ht="13.5" thickBot="1" x14ac:dyDescent="0.35">
      <c r="B147" s="970" t="s">
        <v>59</v>
      </c>
      <c r="C147" s="971"/>
      <c r="D147" s="666" t="s">
        <v>988</v>
      </c>
      <c r="E147" s="631">
        <f>E145</f>
        <v>700000</v>
      </c>
      <c r="F147" s="631">
        <f t="shared" ref="F147:L147" si="25">F145</f>
        <v>0</v>
      </c>
      <c r="G147" s="631">
        <f t="shared" si="25"/>
        <v>110162291</v>
      </c>
      <c r="H147" s="631">
        <f t="shared" si="25"/>
        <v>0</v>
      </c>
      <c r="I147" s="631">
        <f t="shared" si="25"/>
        <v>0</v>
      </c>
      <c r="J147" s="631">
        <f t="shared" si="25"/>
        <v>0</v>
      </c>
      <c r="K147" s="631">
        <f t="shared" si="25"/>
        <v>2793730</v>
      </c>
      <c r="L147" s="631">
        <f t="shared" si="25"/>
        <v>113656021</v>
      </c>
    </row>
    <row r="148" spans="1:13" ht="13.5" thickBot="1" x14ac:dyDescent="0.35">
      <c r="B148" s="955" t="s">
        <v>957</v>
      </c>
      <c r="C148" s="956"/>
      <c r="D148" s="666" t="s">
        <v>79</v>
      </c>
      <c r="E148" s="631">
        <f>E146+E142+E129</f>
        <v>1154701108</v>
      </c>
      <c r="F148" s="631">
        <f t="shared" ref="F148:L148" si="26">F146+F142+F129</f>
        <v>4187193636</v>
      </c>
      <c r="G148" s="631">
        <f t="shared" si="26"/>
        <v>697328267</v>
      </c>
      <c r="H148" s="631">
        <f t="shared" si="26"/>
        <v>504057411</v>
      </c>
      <c r="I148" s="631">
        <f t="shared" si="26"/>
        <v>8088100</v>
      </c>
      <c r="J148" s="631">
        <f t="shared" si="26"/>
        <v>5760422844</v>
      </c>
      <c r="K148" s="631">
        <f t="shared" si="26"/>
        <v>1499199150</v>
      </c>
      <c r="L148" s="631">
        <f t="shared" si="26"/>
        <v>13810990516</v>
      </c>
    </row>
    <row r="149" spans="1:13" ht="13.5" thickBot="1" x14ac:dyDescent="0.35">
      <c r="B149" s="955" t="s">
        <v>957</v>
      </c>
      <c r="C149" s="956"/>
      <c r="D149" s="646" t="s">
        <v>988</v>
      </c>
      <c r="E149" s="631">
        <f>E147+E143+E130</f>
        <v>1159291108</v>
      </c>
      <c r="F149" s="631">
        <f t="shared" ref="F149:L149" si="27">F147+F143+F130</f>
        <v>4338105016</v>
      </c>
      <c r="G149" s="631">
        <f t="shared" si="27"/>
        <v>764318004</v>
      </c>
      <c r="H149" s="631">
        <f t="shared" si="27"/>
        <v>483541712</v>
      </c>
      <c r="I149" s="631">
        <f t="shared" si="27"/>
        <v>8088100</v>
      </c>
      <c r="J149" s="631">
        <f t="shared" si="27"/>
        <v>5760422844</v>
      </c>
      <c r="K149" s="631">
        <f t="shared" si="27"/>
        <v>2134212028</v>
      </c>
      <c r="L149" s="631">
        <f t="shared" si="27"/>
        <v>14647978812</v>
      </c>
    </row>
    <row r="150" spans="1:13" s="8" customFormat="1" x14ac:dyDescent="0.25">
      <c r="A150" s="67"/>
      <c r="M150" s="67"/>
    </row>
    <row r="151" spans="1:13" s="390" customFormat="1" x14ac:dyDescent="0.25">
      <c r="A151" s="392"/>
      <c r="E151" s="390" t="s">
        <v>203</v>
      </c>
      <c r="F151" s="390" t="s">
        <v>205</v>
      </c>
      <c r="G151" s="390" t="s">
        <v>1130</v>
      </c>
      <c r="H151" s="390" t="s">
        <v>204</v>
      </c>
      <c r="I151" s="390" t="s">
        <v>1131</v>
      </c>
      <c r="J151" s="390" t="s">
        <v>206</v>
      </c>
      <c r="K151" s="390" t="s">
        <v>1132</v>
      </c>
      <c r="M151" s="392"/>
    </row>
    <row r="152" spans="1:13" s="390" customFormat="1" x14ac:dyDescent="0.25">
      <c r="A152" s="392"/>
      <c r="C152" s="390" t="s">
        <v>1126</v>
      </c>
      <c r="E152" s="395">
        <f>E71+E87+E97</f>
        <v>1154701108</v>
      </c>
      <c r="F152" s="395">
        <f t="shared" ref="F152:L152" si="28">F71+F87+F97</f>
        <v>4187193636</v>
      </c>
      <c r="G152" s="395">
        <f t="shared" si="28"/>
        <v>697328267</v>
      </c>
      <c r="H152" s="395">
        <f t="shared" si="28"/>
        <v>504057411</v>
      </c>
      <c r="I152" s="395">
        <f t="shared" si="28"/>
        <v>8088100</v>
      </c>
      <c r="J152" s="395">
        <f t="shared" si="28"/>
        <v>5760422844</v>
      </c>
      <c r="K152" s="395">
        <f t="shared" si="28"/>
        <v>1499199150</v>
      </c>
      <c r="L152" s="395">
        <f t="shared" si="28"/>
        <v>13810990516</v>
      </c>
      <c r="M152" s="392"/>
    </row>
    <row r="153" spans="1:13" s="390" customFormat="1" x14ac:dyDescent="0.25">
      <c r="A153" s="392"/>
      <c r="C153" s="390" t="s">
        <v>1127</v>
      </c>
      <c r="E153" s="395">
        <f>E72+E88+E98</f>
        <v>1159291108</v>
      </c>
      <c r="F153" s="395">
        <f t="shared" ref="F153:L153" si="29">F72+F88+F98</f>
        <v>4338105016</v>
      </c>
      <c r="G153" s="395">
        <f t="shared" si="29"/>
        <v>764318004</v>
      </c>
      <c r="H153" s="395">
        <f t="shared" si="29"/>
        <v>483541712</v>
      </c>
      <c r="I153" s="395">
        <f t="shared" si="29"/>
        <v>8088100</v>
      </c>
      <c r="J153" s="395">
        <f t="shared" si="29"/>
        <v>5760422844</v>
      </c>
      <c r="K153" s="395">
        <f t="shared" si="29"/>
        <v>2134212028</v>
      </c>
      <c r="L153" s="395">
        <f t="shared" si="29"/>
        <v>14647978812</v>
      </c>
      <c r="M153" s="392"/>
    </row>
    <row r="154" spans="1:13" s="390" customFormat="1" x14ac:dyDescent="0.25">
      <c r="A154" s="392"/>
      <c r="M154" s="392"/>
    </row>
    <row r="155" spans="1:13" s="390" customFormat="1" x14ac:dyDescent="0.25">
      <c r="A155" s="392"/>
      <c r="C155" s="390" t="s">
        <v>1128</v>
      </c>
      <c r="M155" s="392"/>
    </row>
    <row r="156" spans="1:13" s="390" customFormat="1" x14ac:dyDescent="0.25">
      <c r="A156" s="392"/>
      <c r="C156" s="390" t="s">
        <v>1129</v>
      </c>
      <c r="E156" s="395">
        <f>E149+E39</f>
        <v>1954814448</v>
      </c>
      <c r="F156" s="395">
        <f>F130</f>
        <v>3963710276</v>
      </c>
      <c r="G156" s="395">
        <f>G149+F39+G39</f>
        <v>4192235872</v>
      </c>
      <c r="H156" s="395">
        <f>H149+H39</f>
        <v>483541712</v>
      </c>
      <c r="I156" s="395">
        <f>I149</f>
        <v>8088100</v>
      </c>
      <c r="J156" s="395">
        <f>J149</f>
        <v>5760422844</v>
      </c>
      <c r="K156" s="395">
        <f>K149+K39</f>
        <v>2142413915</v>
      </c>
      <c r="M156" s="392"/>
    </row>
    <row r="157" spans="1:13" s="8" customFormat="1" x14ac:dyDescent="0.25">
      <c r="A157" s="67"/>
      <c r="M157" s="67"/>
    </row>
    <row r="158" spans="1:13" s="8" customFormat="1" x14ac:dyDescent="0.25">
      <c r="A158" s="67"/>
      <c r="M158" s="67"/>
    </row>
    <row r="159" spans="1:13" s="8" customFormat="1" x14ac:dyDescent="0.25">
      <c r="A159" s="67"/>
      <c r="M159" s="67"/>
    </row>
    <row r="160" spans="1:13" s="8" customFormat="1" x14ac:dyDescent="0.25">
      <c r="A160" s="67"/>
      <c r="M160" s="67"/>
    </row>
  </sheetData>
  <mergeCells count="140">
    <mergeCell ref="B119:C119"/>
    <mergeCell ref="B134:C135"/>
    <mergeCell ref="B136:C137"/>
    <mergeCell ref="B138:C139"/>
    <mergeCell ref="B140:C141"/>
    <mergeCell ref="B144:C145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49:C149"/>
    <mergeCell ref="B87:C87"/>
    <mergeCell ref="B88:C88"/>
    <mergeCell ref="B97:C97"/>
    <mergeCell ref="B98:C98"/>
    <mergeCell ref="B129:C129"/>
    <mergeCell ref="B130:C130"/>
    <mergeCell ref="B142:C142"/>
    <mergeCell ref="B143:C143"/>
    <mergeCell ref="B146:C146"/>
    <mergeCell ref="B147:C147"/>
    <mergeCell ref="B148:C148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G131:G133"/>
    <mergeCell ref="H131:H133"/>
    <mergeCell ref="I131:I133"/>
    <mergeCell ref="J131:J133"/>
    <mergeCell ref="L131:L133"/>
    <mergeCell ref="B131:D133"/>
    <mergeCell ref="E131:E133"/>
    <mergeCell ref="F131:F133"/>
    <mergeCell ref="B59:C59"/>
    <mergeCell ref="B60:C60"/>
    <mergeCell ref="B65:C65"/>
    <mergeCell ref="B66:C66"/>
    <mergeCell ref="B67:C67"/>
    <mergeCell ref="B68:C68"/>
    <mergeCell ref="B69:C69"/>
    <mergeCell ref="B70:C70"/>
    <mergeCell ref="B92:D94"/>
    <mergeCell ref="B79:C80"/>
    <mergeCell ref="B81:C82"/>
    <mergeCell ref="B83:C84"/>
    <mergeCell ref="B85:C86"/>
    <mergeCell ref="B95:C96"/>
    <mergeCell ref="B105:C105"/>
    <mergeCell ref="B106:C106"/>
    <mergeCell ref="J102:J104"/>
    <mergeCell ref="L102:L104"/>
    <mergeCell ref="B102:D104"/>
    <mergeCell ref="E102:E104"/>
    <mergeCell ref="F102:F104"/>
    <mergeCell ref="G102:G104"/>
    <mergeCell ref="H102:H104"/>
    <mergeCell ref="E76:E78"/>
    <mergeCell ref="F76:F78"/>
    <mergeCell ref="G76:G78"/>
    <mergeCell ref="B76:D78"/>
    <mergeCell ref="I92:I94"/>
    <mergeCell ref="J92:J94"/>
    <mergeCell ref="L92:L94"/>
    <mergeCell ref="I102:I104"/>
    <mergeCell ref="E92:E94"/>
    <mergeCell ref="F92:F94"/>
    <mergeCell ref="G92:G94"/>
    <mergeCell ref="H92:H94"/>
    <mergeCell ref="B39:D39"/>
    <mergeCell ref="B44:D46"/>
    <mergeCell ref="B71:C71"/>
    <mergeCell ref="B72:C72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61:C61"/>
    <mergeCell ref="B62:C62"/>
    <mergeCell ref="B63:C63"/>
    <mergeCell ref="B64:C64"/>
    <mergeCell ref="B3:D5"/>
    <mergeCell ref="E3:E5"/>
    <mergeCell ref="B38:D38"/>
    <mergeCell ref="C36:D36"/>
    <mergeCell ref="C32:D32"/>
    <mergeCell ref="C6:D6"/>
    <mergeCell ref="C8:D8"/>
    <mergeCell ref="C10:D10"/>
    <mergeCell ref="C12:D12"/>
    <mergeCell ref="C14:D14"/>
    <mergeCell ref="C16:D16"/>
    <mergeCell ref="C18:D18"/>
    <mergeCell ref="B20:D20"/>
    <mergeCell ref="B21:D21"/>
    <mergeCell ref="C22:D22"/>
    <mergeCell ref="C26:D26"/>
    <mergeCell ref="C28:D28"/>
    <mergeCell ref="C30:D30"/>
    <mergeCell ref="C34:D34"/>
    <mergeCell ref="C37:D37"/>
    <mergeCell ref="F3:F5"/>
    <mergeCell ref="G3:G5"/>
    <mergeCell ref="E44:E46"/>
    <mergeCell ref="K2:L2"/>
    <mergeCell ref="J76:J78"/>
    <mergeCell ref="L76:L78"/>
    <mergeCell ref="H44:H46"/>
    <mergeCell ref="I44:I46"/>
    <mergeCell ref="J44:J46"/>
    <mergeCell ref="L44:L46"/>
    <mergeCell ref="I76:I78"/>
    <mergeCell ref="L3:L5"/>
    <mergeCell ref="I3:I5"/>
    <mergeCell ref="J3:J5"/>
    <mergeCell ref="H3:H5"/>
    <mergeCell ref="H76:H78"/>
    <mergeCell ref="F44:F46"/>
    <mergeCell ref="G44:G46"/>
  </mergeCells>
  <pageMargins left="0.47244094488188981" right="0.23622047244094491" top="0.51181102362204722" bottom="0.35433070866141736" header="0.51181102362204722" footer="0.51181102362204722"/>
  <pageSetup paperSize="8" scale="72" orientation="portrait" r:id="rId1"/>
  <headerFooter alignWithMargins="0"/>
  <rowBreaks count="2" manualBreakCount="2">
    <brk id="41" max="16383" man="1"/>
    <brk id="99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</sheetPr>
  <dimension ref="A1:Z113"/>
  <sheetViews>
    <sheetView zoomScale="72" zoomScaleNormal="72" workbookViewId="0">
      <selection activeCell="C14" sqref="C14:L15"/>
    </sheetView>
  </sheetViews>
  <sheetFormatPr defaultRowHeight="12.5" x14ac:dyDescent="0.25"/>
  <cols>
    <col min="1" max="1" width="20.1796875" customWidth="1"/>
    <col min="2" max="2" width="2.81640625" customWidth="1"/>
    <col min="3" max="3" width="29.453125" customWidth="1"/>
    <col min="4" max="4" width="14.81640625" customWidth="1"/>
    <col min="5" max="5" width="18.90625" bestFit="1" customWidth="1"/>
    <col min="6" max="6" width="21.08984375" bestFit="1" customWidth="1"/>
    <col min="7" max="7" width="16" bestFit="1" customWidth="1"/>
    <col min="8" max="9" width="17.453125" bestFit="1" customWidth="1"/>
    <col min="10" max="10" width="13.1796875" customWidth="1"/>
    <col min="11" max="11" width="18.90625" bestFit="1" customWidth="1"/>
    <col min="12" max="12" width="21" customWidth="1"/>
    <col min="13" max="13" width="9.1796875" style="1"/>
    <col min="14" max="14" width="13.81640625" bestFit="1" customWidth="1"/>
  </cols>
  <sheetData>
    <row r="1" spans="1:26" ht="13" x14ac:dyDescent="0.3">
      <c r="A1" s="8"/>
      <c r="B1" s="3" t="s">
        <v>321</v>
      </c>
      <c r="C1" s="8"/>
      <c r="D1" s="8"/>
      <c r="E1" s="8"/>
      <c r="F1" s="275" t="s">
        <v>787</v>
      </c>
      <c r="G1" s="8"/>
      <c r="H1" s="8"/>
      <c r="I1" s="8"/>
      <c r="J1" s="8"/>
      <c r="K1" s="8"/>
      <c r="L1" s="8" t="s">
        <v>705</v>
      </c>
      <c r="M1" s="67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3.5" thickBo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972" t="s">
        <v>692</v>
      </c>
      <c r="L2" s="972"/>
      <c r="M2" s="6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2.75" customHeight="1" x14ac:dyDescent="0.25">
      <c r="A3" s="953" t="s">
        <v>214</v>
      </c>
      <c r="B3" s="953" t="s">
        <v>60</v>
      </c>
      <c r="C3" s="953"/>
      <c r="D3" s="953"/>
      <c r="E3" s="932" t="s">
        <v>253</v>
      </c>
      <c r="F3" s="953" t="s">
        <v>215</v>
      </c>
      <c r="G3" s="953" t="s">
        <v>261</v>
      </c>
      <c r="H3" s="953" t="s">
        <v>213</v>
      </c>
      <c r="I3" s="278" t="s">
        <v>84</v>
      </c>
      <c r="J3" s="309" t="s">
        <v>376</v>
      </c>
      <c r="K3" s="278" t="s">
        <v>84</v>
      </c>
      <c r="L3" s="953" t="s">
        <v>49</v>
      </c>
      <c r="M3" s="6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3" x14ac:dyDescent="0.25">
      <c r="A4" s="923"/>
      <c r="B4" s="923"/>
      <c r="C4" s="923"/>
      <c r="D4" s="923"/>
      <c r="E4" s="935"/>
      <c r="F4" s="923"/>
      <c r="G4" s="923"/>
      <c r="H4" s="923"/>
      <c r="I4" s="277" t="s">
        <v>159</v>
      </c>
      <c r="J4" s="308" t="s">
        <v>430</v>
      </c>
      <c r="K4" s="277" t="s">
        <v>85</v>
      </c>
      <c r="L4" s="923"/>
      <c r="M4" s="6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52.5" customHeight="1" thickBot="1" x14ac:dyDescent="0.3">
      <c r="A5" s="923"/>
      <c r="B5" s="923"/>
      <c r="C5" s="923"/>
      <c r="D5" s="923"/>
      <c r="E5" s="935"/>
      <c r="F5" s="923"/>
      <c r="G5" s="923"/>
      <c r="H5" s="923"/>
      <c r="I5" s="277" t="s">
        <v>480</v>
      </c>
      <c r="J5" s="308" t="s">
        <v>431</v>
      </c>
      <c r="K5" s="613" t="s">
        <v>973</v>
      </c>
      <c r="L5" s="923"/>
      <c r="M5" s="6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4">
      <c r="A6" s="973" t="s">
        <v>655</v>
      </c>
      <c r="B6" s="766"/>
      <c r="C6" s="767" t="s">
        <v>720</v>
      </c>
      <c r="D6" s="768" t="s">
        <v>79</v>
      </c>
      <c r="E6" s="769"/>
      <c r="F6" s="770">
        <v>41500000</v>
      </c>
      <c r="G6" s="771"/>
      <c r="H6" s="770"/>
      <c r="I6" s="770"/>
      <c r="J6" s="770"/>
      <c r="K6" s="770"/>
      <c r="L6" s="770">
        <f t="shared" ref="L6:L34" si="0">SUM(E6:K6)</f>
        <v>41500000</v>
      </c>
      <c r="M6" s="6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 thickBot="1" x14ac:dyDescent="0.45">
      <c r="A7" s="974"/>
      <c r="B7" s="772"/>
      <c r="C7" s="773"/>
      <c r="D7" s="774" t="s">
        <v>988</v>
      </c>
      <c r="E7" s="775"/>
      <c r="F7" s="776">
        <v>41500000</v>
      </c>
      <c r="G7" s="777"/>
      <c r="H7" s="776"/>
      <c r="I7" s="776"/>
      <c r="J7" s="776"/>
      <c r="K7" s="776"/>
      <c r="L7" s="776">
        <f t="shared" si="0"/>
        <v>41500000</v>
      </c>
      <c r="M7" s="6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4">
      <c r="A8" s="973" t="s">
        <v>655</v>
      </c>
      <c r="B8" s="766"/>
      <c r="C8" s="767" t="s">
        <v>794</v>
      </c>
      <c r="D8" s="768" t="s">
        <v>79</v>
      </c>
      <c r="E8" s="769"/>
      <c r="F8" s="770">
        <v>100000000</v>
      </c>
      <c r="G8" s="771"/>
      <c r="H8" s="770"/>
      <c r="I8" s="770"/>
      <c r="J8" s="770"/>
      <c r="K8" s="770"/>
      <c r="L8" s="770">
        <f t="shared" si="0"/>
        <v>100000000</v>
      </c>
      <c r="M8" s="67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 thickBot="1" x14ac:dyDescent="0.45">
      <c r="A9" s="974"/>
      <c r="B9" s="772"/>
      <c r="C9" s="773"/>
      <c r="D9" s="774" t="s">
        <v>988</v>
      </c>
      <c r="E9" s="775"/>
      <c r="F9" s="776">
        <v>100000000</v>
      </c>
      <c r="G9" s="777"/>
      <c r="H9" s="776"/>
      <c r="I9" s="776"/>
      <c r="J9" s="776"/>
      <c r="K9" s="776"/>
      <c r="L9" s="776">
        <f t="shared" si="0"/>
        <v>100000000</v>
      </c>
      <c r="M9" s="67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4">
      <c r="A10" s="973" t="s">
        <v>655</v>
      </c>
      <c r="B10" s="766"/>
      <c r="C10" s="796" t="str">
        <f>'[7]Projekt (2)'!$A$160</f>
        <v xml:space="preserve">FVS, Gyáév-csarnok </v>
      </c>
      <c r="D10" s="768" t="s">
        <v>79</v>
      </c>
      <c r="E10" s="769"/>
      <c r="F10" s="770">
        <v>350000000</v>
      </c>
      <c r="G10" s="771"/>
      <c r="H10" s="770"/>
      <c r="I10" s="770"/>
      <c r="J10" s="770"/>
      <c r="K10" s="770"/>
      <c r="L10" s="770">
        <f t="shared" si="0"/>
        <v>350000000</v>
      </c>
      <c r="M10" s="67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 thickBot="1" x14ac:dyDescent="0.45">
      <c r="A11" s="974"/>
      <c r="B11" s="772"/>
      <c r="C11" s="797"/>
      <c r="D11" s="774" t="s">
        <v>988</v>
      </c>
      <c r="E11" s="775"/>
      <c r="F11" s="776">
        <v>350000000</v>
      </c>
      <c r="G11" s="777"/>
      <c r="H11" s="776"/>
      <c r="I11" s="776"/>
      <c r="J11" s="776"/>
      <c r="K11" s="776"/>
      <c r="L11" s="776">
        <f t="shared" si="0"/>
        <v>350000000</v>
      </c>
      <c r="M11" s="67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4">
      <c r="A12" s="973" t="s">
        <v>655</v>
      </c>
      <c r="B12" s="766"/>
      <c r="C12" s="983" t="s">
        <v>795</v>
      </c>
      <c r="D12" s="768" t="s">
        <v>79</v>
      </c>
      <c r="E12" s="769"/>
      <c r="F12" s="770">
        <v>320000000</v>
      </c>
      <c r="G12" s="771"/>
      <c r="H12" s="770"/>
      <c r="I12" s="770"/>
      <c r="J12" s="770"/>
      <c r="K12" s="770"/>
      <c r="L12" s="770">
        <f t="shared" si="0"/>
        <v>320000000</v>
      </c>
      <c r="M12" s="67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thickBot="1" x14ac:dyDescent="0.45">
      <c r="A13" s="974"/>
      <c r="B13" s="772"/>
      <c r="C13" s="984"/>
      <c r="D13" s="774" t="s">
        <v>988</v>
      </c>
      <c r="E13" s="775"/>
      <c r="F13" s="776">
        <v>320000000</v>
      </c>
      <c r="G13" s="777"/>
      <c r="H13" s="776"/>
      <c r="I13" s="776"/>
      <c r="J13" s="776"/>
      <c r="K13" s="776"/>
      <c r="L13" s="776">
        <f t="shared" si="0"/>
        <v>320000000</v>
      </c>
      <c r="M13" s="67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4">
      <c r="A14" s="973" t="s">
        <v>655</v>
      </c>
      <c r="B14" s="766"/>
      <c r="C14" s="767" t="s">
        <v>796</v>
      </c>
      <c r="D14" s="768" t="s">
        <v>79</v>
      </c>
      <c r="E14" s="769"/>
      <c r="F14" s="770">
        <v>150000000</v>
      </c>
      <c r="G14" s="771"/>
      <c r="H14" s="770"/>
      <c r="I14" s="770"/>
      <c r="J14" s="770"/>
      <c r="K14" s="770"/>
      <c r="L14" s="770">
        <f t="shared" si="0"/>
        <v>150000000</v>
      </c>
      <c r="M14" s="67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thickBot="1" x14ac:dyDescent="0.45">
      <c r="A15" s="974"/>
      <c r="B15" s="772"/>
      <c r="C15" s="773"/>
      <c r="D15" s="774" t="s">
        <v>988</v>
      </c>
      <c r="E15" s="775"/>
      <c r="F15" s="776">
        <v>150000000</v>
      </c>
      <c r="G15" s="777"/>
      <c r="H15" s="776"/>
      <c r="I15" s="776"/>
      <c r="J15" s="776"/>
      <c r="K15" s="776"/>
      <c r="L15" s="776">
        <f t="shared" si="0"/>
        <v>150000000</v>
      </c>
      <c r="M15" s="67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4">
      <c r="A16" s="973" t="s">
        <v>655</v>
      </c>
      <c r="B16" s="766"/>
      <c r="C16" s="985" t="s">
        <v>797</v>
      </c>
      <c r="D16" s="768" t="s">
        <v>79</v>
      </c>
      <c r="E16" s="769"/>
      <c r="F16" s="770">
        <v>850000000</v>
      </c>
      <c r="G16" s="771"/>
      <c r="H16" s="770"/>
      <c r="I16" s="770"/>
      <c r="J16" s="770"/>
      <c r="K16" s="770"/>
      <c r="L16" s="770">
        <f t="shared" si="0"/>
        <v>850000000</v>
      </c>
      <c r="M16" s="67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thickBot="1" x14ac:dyDescent="0.45">
      <c r="A17" s="974"/>
      <c r="B17" s="772"/>
      <c r="C17" s="986"/>
      <c r="D17" s="774" t="s">
        <v>988</v>
      </c>
      <c r="E17" s="775"/>
      <c r="F17" s="776">
        <v>850000000</v>
      </c>
      <c r="G17" s="777"/>
      <c r="H17" s="776"/>
      <c r="I17" s="776"/>
      <c r="J17" s="776"/>
      <c r="K17" s="776"/>
      <c r="L17" s="776">
        <f t="shared" si="0"/>
        <v>850000000</v>
      </c>
      <c r="M17" s="67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4">
      <c r="A18" s="973" t="s">
        <v>655</v>
      </c>
      <c r="B18" s="778"/>
      <c r="C18" s="779" t="s">
        <v>798</v>
      </c>
      <c r="D18" s="768" t="s">
        <v>79</v>
      </c>
      <c r="E18" s="780"/>
      <c r="F18" s="781">
        <v>7929375</v>
      </c>
      <c r="G18" s="782"/>
      <c r="H18" s="781"/>
      <c r="I18" s="781"/>
      <c r="J18" s="781"/>
      <c r="K18" s="781"/>
      <c r="L18" s="770">
        <f t="shared" si="0"/>
        <v>7929375</v>
      </c>
      <c r="M18" s="67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thickBot="1" x14ac:dyDescent="0.45">
      <c r="A19" s="974"/>
      <c r="B19" s="778"/>
      <c r="C19" s="779"/>
      <c r="D19" s="774" t="s">
        <v>988</v>
      </c>
      <c r="E19" s="780"/>
      <c r="F19" s="781">
        <v>7929375</v>
      </c>
      <c r="G19" s="782"/>
      <c r="H19" s="781"/>
      <c r="I19" s="781"/>
      <c r="J19" s="781"/>
      <c r="K19" s="781"/>
      <c r="L19" s="781">
        <f t="shared" si="0"/>
        <v>7929375</v>
      </c>
      <c r="M19" s="6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9" customHeight="1" x14ac:dyDescent="0.4">
      <c r="A20" s="178" t="s">
        <v>305</v>
      </c>
      <c r="B20" s="766"/>
      <c r="C20" s="783" t="s">
        <v>696</v>
      </c>
      <c r="D20" s="768" t="s">
        <v>79</v>
      </c>
      <c r="E20" s="770"/>
      <c r="F20" s="770"/>
      <c r="G20" s="771">
        <v>2000000</v>
      </c>
      <c r="H20" s="770"/>
      <c r="I20" s="770"/>
      <c r="J20" s="770"/>
      <c r="K20" s="770"/>
      <c r="L20" s="770">
        <f t="shared" si="0"/>
        <v>2000000</v>
      </c>
      <c r="M20" s="6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0.75" customHeight="1" thickBot="1" x14ac:dyDescent="0.45">
      <c r="A21" s="402" t="s">
        <v>373</v>
      </c>
      <c r="B21" s="772"/>
      <c r="C21" s="784" t="s">
        <v>306</v>
      </c>
      <c r="D21" s="774" t="s">
        <v>988</v>
      </c>
      <c r="E21" s="776"/>
      <c r="F21" s="776"/>
      <c r="G21" s="777">
        <v>2000000</v>
      </c>
      <c r="H21" s="776"/>
      <c r="I21" s="776"/>
      <c r="J21" s="776"/>
      <c r="K21" s="776"/>
      <c r="L21" s="776">
        <f t="shared" si="0"/>
        <v>2000000</v>
      </c>
      <c r="M21" s="6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s="8" customFormat="1" ht="36.75" customHeight="1" x14ac:dyDescent="0.4">
      <c r="A22" s="178" t="s">
        <v>305</v>
      </c>
      <c r="B22" s="766"/>
      <c r="C22" s="979" t="s">
        <v>1053</v>
      </c>
      <c r="D22" s="768" t="s">
        <v>79</v>
      </c>
      <c r="E22" s="770">
        <v>680098509</v>
      </c>
      <c r="F22" s="770"/>
      <c r="G22" s="771"/>
      <c r="H22" s="770">
        <v>34600000</v>
      </c>
      <c r="I22" s="770"/>
      <c r="J22" s="770"/>
      <c r="K22" s="770"/>
      <c r="L22" s="770">
        <f t="shared" si="0"/>
        <v>714698509</v>
      </c>
      <c r="M22" s="67"/>
    </row>
    <row r="23" spans="1:26" s="8" customFormat="1" ht="20.25" customHeight="1" thickBot="1" x14ac:dyDescent="0.45">
      <c r="A23" s="402" t="s">
        <v>373</v>
      </c>
      <c r="B23" s="772"/>
      <c r="C23" s="980"/>
      <c r="D23" s="774" t="s">
        <v>988</v>
      </c>
      <c r="E23" s="776">
        <v>680098509</v>
      </c>
      <c r="F23" s="776"/>
      <c r="G23" s="777"/>
      <c r="H23" s="776">
        <v>34600000</v>
      </c>
      <c r="I23" s="776"/>
      <c r="J23" s="776"/>
      <c r="K23" s="776"/>
      <c r="L23" s="776">
        <f t="shared" si="0"/>
        <v>714698509</v>
      </c>
      <c r="M23" s="67"/>
    </row>
    <row r="24" spans="1:26" s="8" customFormat="1" ht="50" customHeight="1" x14ac:dyDescent="0.4">
      <c r="A24" s="178" t="s">
        <v>305</v>
      </c>
      <c r="B24" s="778"/>
      <c r="C24" s="785" t="s">
        <v>481</v>
      </c>
      <c r="D24" s="768" t="s">
        <v>79</v>
      </c>
      <c r="E24" s="781"/>
      <c r="F24" s="781"/>
      <c r="G24" s="782"/>
      <c r="H24" s="781"/>
      <c r="I24" s="781">
        <v>7274787</v>
      </c>
      <c r="J24" s="781"/>
      <c r="K24" s="781"/>
      <c r="L24" s="781">
        <f t="shared" si="0"/>
        <v>7274787</v>
      </c>
      <c r="M24" s="67"/>
    </row>
    <row r="25" spans="1:26" s="8" customFormat="1" ht="20.25" customHeight="1" thickBot="1" x14ac:dyDescent="0.45">
      <c r="A25" s="402" t="s">
        <v>373</v>
      </c>
      <c r="B25" s="778"/>
      <c r="C25" s="785"/>
      <c r="D25" s="774" t="s">
        <v>988</v>
      </c>
      <c r="E25" s="781"/>
      <c r="F25" s="781"/>
      <c r="G25" s="782"/>
      <c r="H25" s="781"/>
      <c r="I25" s="781">
        <v>7274787</v>
      </c>
      <c r="J25" s="781"/>
      <c r="K25" s="781"/>
      <c r="L25" s="781">
        <f t="shared" si="0"/>
        <v>7274787</v>
      </c>
      <c r="M25" s="67"/>
    </row>
    <row r="26" spans="1:26" s="8" customFormat="1" ht="54" customHeight="1" x14ac:dyDescent="0.4">
      <c r="A26" s="178" t="s">
        <v>305</v>
      </c>
      <c r="B26" s="766"/>
      <c r="C26" s="783" t="s">
        <v>721</v>
      </c>
      <c r="D26" s="768" t="s">
        <v>79</v>
      </c>
      <c r="E26" s="770"/>
      <c r="F26" s="770"/>
      <c r="G26" s="771"/>
      <c r="H26" s="770"/>
      <c r="I26" s="770">
        <v>20000000</v>
      </c>
      <c r="J26" s="770"/>
      <c r="K26" s="770"/>
      <c r="L26" s="770">
        <f t="shared" si="0"/>
        <v>20000000</v>
      </c>
      <c r="M26" s="67"/>
    </row>
    <row r="27" spans="1:26" s="8" customFormat="1" ht="20.25" customHeight="1" thickBot="1" x14ac:dyDescent="0.45">
      <c r="A27" s="402" t="s">
        <v>373</v>
      </c>
      <c r="B27" s="772"/>
      <c r="C27" s="784"/>
      <c r="D27" s="774" t="s">
        <v>988</v>
      </c>
      <c r="E27" s="776"/>
      <c r="F27" s="776"/>
      <c r="G27" s="777"/>
      <c r="H27" s="776"/>
      <c r="I27" s="776">
        <v>20000000</v>
      </c>
      <c r="J27" s="776"/>
      <c r="K27" s="776"/>
      <c r="L27" s="776">
        <f t="shared" si="0"/>
        <v>20000000</v>
      </c>
      <c r="M27" s="67"/>
    </row>
    <row r="28" spans="1:26" ht="29" customHeight="1" x14ac:dyDescent="0.4">
      <c r="A28" s="975" t="s">
        <v>572</v>
      </c>
      <c r="B28" s="766"/>
      <c r="C28" s="981" t="s">
        <v>573</v>
      </c>
      <c r="D28" s="768" t="s">
        <v>79</v>
      </c>
      <c r="E28" s="786"/>
      <c r="F28" s="770"/>
      <c r="G28" s="771">
        <v>340000</v>
      </c>
      <c r="H28" s="770"/>
      <c r="I28" s="770"/>
      <c r="J28" s="770"/>
      <c r="K28" s="770"/>
      <c r="L28" s="770">
        <f t="shared" si="0"/>
        <v>340000</v>
      </c>
      <c r="M28" s="67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8" customHeight="1" thickBot="1" x14ac:dyDescent="0.45">
      <c r="A29" s="975"/>
      <c r="B29" s="772"/>
      <c r="C29" s="982"/>
      <c r="D29" s="774" t="s">
        <v>988</v>
      </c>
      <c r="E29" s="776"/>
      <c r="F29" s="776"/>
      <c r="G29" s="777">
        <v>340000</v>
      </c>
      <c r="H29" s="776"/>
      <c r="I29" s="776"/>
      <c r="J29" s="776"/>
      <c r="K29" s="776"/>
      <c r="L29" s="776">
        <f t="shared" si="0"/>
        <v>340000</v>
      </c>
      <c r="M29" s="67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3.75" customHeight="1" x14ac:dyDescent="0.4">
      <c r="A30" s="975" t="s">
        <v>280</v>
      </c>
      <c r="B30" s="766"/>
      <c r="C30" s="981" t="s">
        <v>432</v>
      </c>
      <c r="D30" s="768" t="s">
        <v>79</v>
      </c>
      <c r="E30" s="770"/>
      <c r="F30" s="770"/>
      <c r="G30" s="771"/>
      <c r="H30" s="770"/>
      <c r="I30" s="770">
        <v>6666</v>
      </c>
      <c r="J30" s="770"/>
      <c r="K30" s="770"/>
      <c r="L30" s="770">
        <f t="shared" si="0"/>
        <v>6666</v>
      </c>
      <c r="M30" s="67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5.25" customHeight="1" thickBot="1" x14ac:dyDescent="0.45">
      <c r="A31" s="975"/>
      <c r="B31" s="772"/>
      <c r="C31" s="982"/>
      <c r="D31" s="774" t="s">
        <v>988</v>
      </c>
      <c r="E31" s="776"/>
      <c r="F31" s="776"/>
      <c r="G31" s="777"/>
      <c r="H31" s="776"/>
      <c r="I31" s="776">
        <v>6666</v>
      </c>
      <c r="J31" s="776"/>
      <c r="K31" s="776"/>
      <c r="L31" s="776">
        <f t="shared" si="0"/>
        <v>6666</v>
      </c>
      <c r="M31" s="67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27.75" customHeight="1" x14ac:dyDescent="0.4">
      <c r="A32" s="976" t="s">
        <v>482</v>
      </c>
      <c r="B32" s="766"/>
      <c r="C32" s="979" t="s">
        <v>507</v>
      </c>
      <c r="D32" s="768" t="s">
        <v>79</v>
      </c>
      <c r="E32" s="770"/>
      <c r="F32" s="770"/>
      <c r="G32" s="771"/>
      <c r="H32" s="770"/>
      <c r="I32" s="770"/>
      <c r="J32" s="770"/>
      <c r="K32" s="770">
        <v>81754645</v>
      </c>
      <c r="L32" s="770">
        <f t="shared" si="0"/>
        <v>81754645</v>
      </c>
      <c r="M32" s="67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48.75" customHeight="1" thickBot="1" x14ac:dyDescent="0.45">
      <c r="A33" s="976"/>
      <c r="B33" s="772"/>
      <c r="C33" s="980"/>
      <c r="D33" s="774" t="s">
        <v>988</v>
      </c>
      <c r="E33" s="776"/>
      <c r="F33" s="776"/>
      <c r="G33" s="777"/>
      <c r="H33" s="776"/>
      <c r="I33" s="776"/>
      <c r="J33" s="776"/>
      <c r="K33" s="776">
        <f>81754645+194856055</f>
        <v>276610700</v>
      </c>
      <c r="L33" s="776">
        <f t="shared" si="0"/>
        <v>276610700</v>
      </c>
      <c r="M33" s="67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48.75" customHeight="1" x14ac:dyDescent="0.4">
      <c r="A34" s="987" t="s">
        <v>799</v>
      </c>
      <c r="B34" s="766"/>
      <c r="C34" s="979" t="s">
        <v>974</v>
      </c>
      <c r="D34" s="768" t="s">
        <v>79</v>
      </c>
      <c r="E34" s="770"/>
      <c r="F34" s="770"/>
      <c r="G34" s="771"/>
      <c r="H34" s="770"/>
      <c r="I34" s="770"/>
      <c r="J34" s="770"/>
      <c r="K34" s="770">
        <v>1225550</v>
      </c>
      <c r="L34" s="770">
        <f t="shared" si="0"/>
        <v>1225550</v>
      </c>
      <c r="M34" s="67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48.75" customHeight="1" thickBot="1" x14ac:dyDescent="0.45">
      <c r="A35" s="987"/>
      <c r="B35" s="772"/>
      <c r="C35" s="980"/>
      <c r="D35" s="774" t="s">
        <v>988</v>
      </c>
      <c r="E35" s="776"/>
      <c r="F35" s="776"/>
      <c r="G35" s="777"/>
      <c r="H35" s="776"/>
      <c r="I35" s="776"/>
      <c r="J35" s="776"/>
      <c r="K35" s="776">
        <v>1225550</v>
      </c>
      <c r="L35" s="776">
        <v>1225550</v>
      </c>
      <c r="M35" s="67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48.75" customHeight="1" x14ac:dyDescent="0.4">
      <c r="A36" s="987" t="s">
        <v>799</v>
      </c>
      <c r="B36" s="766"/>
      <c r="C36" s="979" t="s">
        <v>975</v>
      </c>
      <c r="D36" s="768" t="s">
        <v>79</v>
      </c>
      <c r="E36" s="770"/>
      <c r="F36" s="770"/>
      <c r="G36" s="771"/>
      <c r="H36" s="770"/>
      <c r="I36" s="770"/>
      <c r="J36" s="770"/>
      <c r="K36" s="770">
        <f>889000+12700000+635000</f>
        <v>14224000</v>
      </c>
      <c r="L36" s="770">
        <f t="shared" ref="L36:L41" si="1">SUM(E36:K36)</f>
        <v>14224000</v>
      </c>
      <c r="M36" s="67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48.75" customHeight="1" thickBot="1" x14ac:dyDescent="0.45">
      <c r="A37" s="987"/>
      <c r="B37" s="772"/>
      <c r="C37" s="980"/>
      <c r="D37" s="774" t="s">
        <v>988</v>
      </c>
      <c r="E37" s="776"/>
      <c r="F37" s="776"/>
      <c r="G37" s="777"/>
      <c r="H37" s="776"/>
      <c r="I37" s="776"/>
      <c r="J37" s="776"/>
      <c r="K37" s="776">
        <v>14224000</v>
      </c>
      <c r="L37" s="776">
        <f t="shared" si="1"/>
        <v>14224000</v>
      </c>
      <c r="M37" s="67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48.75" customHeight="1" x14ac:dyDescent="0.4">
      <c r="A38" s="987" t="s">
        <v>799</v>
      </c>
      <c r="B38" s="766"/>
      <c r="C38" s="979" t="s">
        <v>976</v>
      </c>
      <c r="D38" s="768" t="s">
        <v>79</v>
      </c>
      <c r="E38" s="770"/>
      <c r="F38" s="770"/>
      <c r="G38" s="771"/>
      <c r="H38" s="770"/>
      <c r="I38" s="770"/>
      <c r="J38" s="770"/>
      <c r="K38" s="770">
        <v>63407493</v>
      </c>
      <c r="L38" s="770">
        <f t="shared" si="1"/>
        <v>63407493</v>
      </c>
      <c r="M38" s="67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48.75" customHeight="1" thickBot="1" x14ac:dyDescent="0.45">
      <c r="A39" s="987"/>
      <c r="B39" s="772"/>
      <c r="C39" s="980"/>
      <c r="D39" s="774" t="s">
        <v>988</v>
      </c>
      <c r="E39" s="776"/>
      <c r="F39" s="776"/>
      <c r="G39" s="777"/>
      <c r="H39" s="776"/>
      <c r="I39" s="776"/>
      <c r="J39" s="776"/>
      <c r="K39" s="776">
        <v>63407494</v>
      </c>
      <c r="L39" s="776">
        <f t="shared" si="1"/>
        <v>63407494</v>
      </c>
      <c r="M39" s="67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48.75" customHeight="1" x14ac:dyDescent="0.4">
      <c r="A40" s="987" t="s">
        <v>799</v>
      </c>
      <c r="B40" s="778"/>
      <c r="C40" s="979" t="s">
        <v>981</v>
      </c>
      <c r="D40" s="768" t="s">
        <v>79</v>
      </c>
      <c r="E40" s="781"/>
      <c r="F40" s="781"/>
      <c r="G40" s="782"/>
      <c r="H40" s="781"/>
      <c r="I40" s="781"/>
      <c r="J40" s="781"/>
      <c r="K40" s="781">
        <v>2897601</v>
      </c>
      <c r="L40" s="770">
        <f t="shared" si="1"/>
        <v>2897601</v>
      </c>
      <c r="M40" s="67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48.75" customHeight="1" thickBot="1" x14ac:dyDescent="0.45">
      <c r="A41" s="987"/>
      <c r="B41" s="778"/>
      <c r="C41" s="990"/>
      <c r="D41" s="774" t="s">
        <v>988</v>
      </c>
      <c r="E41" s="781"/>
      <c r="F41" s="781"/>
      <c r="G41" s="782"/>
      <c r="H41" s="781"/>
      <c r="I41" s="781"/>
      <c r="J41" s="781"/>
      <c r="K41" s="781">
        <v>2897601</v>
      </c>
      <c r="L41" s="781">
        <f t="shared" si="1"/>
        <v>2897601</v>
      </c>
      <c r="M41" s="67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8" x14ac:dyDescent="0.4">
      <c r="A42" s="8"/>
      <c r="B42" s="988" t="s">
        <v>61</v>
      </c>
      <c r="C42" s="989"/>
      <c r="D42" s="798" t="s">
        <v>79</v>
      </c>
      <c r="E42" s="787">
        <f>E6+E8+E10+E12+E14+E16+E18+E20+E22+E24+E26+E28+E30+E32+E34+E36+E38+E40</f>
        <v>680098509</v>
      </c>
      <c r="F42" s="787">
        <f t="shared" ref="F42:L42" si="2">F6+F8+F10+F12+F14+F16+F18+F20+F22+F24+F26+F28+F30+F32+F34+F36+F38+F40</f>
        <v>1819429375</v>
      </c>
      <c r="G42" s="787">
        <f t="shared" si="2"/>
        <v>2340000</v>
      </c>
      <c r="H42" s="787">
        <f t="shared" si="2"/>
        <v>34600000</v>
      </c>
      <c r="I42" s="787">
        <f t="shared" si="2"/>
        <v>27281453</v>
      </c>
      <c r="J42" s="787">
        <f t="shared" si="2"/>
        <v>0</v>
      </c>
      <c r="K42" s="787">
        <f t="shared" si="2"/>
        <v>163509289</v>
      </c>
      <c r="L42" s="787">
        <f t="shared" si="2"/>
        <v>2727258626</v>
      </c>
      <c r="M42" s="288"/>
      <c r="N42" s="8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8.5" thickBot="1" x14ac:dyDescent="0.45">
      <c r="A43" s="8"/>
      <c r="B43" s="977" t="s">
        <v>377</v>
      </c>
      <c r="C43" s="978"/>
      <c r="D43" s="788" t="s">
        <v>79</v>
      </c>
      <c r="E43" s="789">
        <f>E42-E40-E38-E34-E36</f>
        <v>680098509</v>
      </c>
      <c r="F43" s="789">
        <f t="shared" ref="F43:L43" si="3">F42-F40-F38-F34-F36</f>
        <v>1819429375</v>
      </c>
      <c r="G43" s="789">
        <f t="shared" si="3"/>
        <v>2340000</v>
      </c>
      <c r="H43" s="789">
        <f t="shared" si="3"/>
        <v>34600000</v>
      </c>
      <c r="I43" s="789">
        <f t="shared" si="3"/>
        <v>27281453</v>
      </c>
      <c r="J43" s="789">
        <f t="shared" si="3"/>
        <v>0</v>
      </c>
      <c r="K43" s="789">
        <f t="shared" si="3"/>
        <v>81754645</v>
      </c>
      <c r="L43" s="789">
        <f t="shared" si="3"/>
        <v>2645503982</v>
      </c>
      <c r="M43" s="67"/>
      <c r="N43" s="8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8" x14ac:dyDescent="0.4">
      <c r="A44" s="8"/>
      <c r="B44" s="988" t="s">
        <v>61</v>
      </c>
      <c r="C44" s="989"/>
      <c r="D44" s="798" t="s">
        <v>988</v>
      </c>
      <c r="E44" s="787">
        <f>E7+E9+E11+E13+E15+E17+E19+E21+E23+E25+E27+E29+E31+E33+E35+E37+E39+E41</f>
        <v>680098509</v>
      </c>
      <c r="F44" s="787">
        <f t="shared" ref="F44:L44" si="4">F7+F9+F11+F13+F15+F17+F19+F21+F23+F25+F27+F29+F31+F33+F35+F37+F39+F41</f>
        <v>1819429375</v>
      </c>
      <c r="G44" s="787">
        <f t="shared" si="4"/>
        <v>2340000</v>
      </c>
      <c r="H44" s="787">
        <f t="shared" si="4"/>
        <v>34600000</v>
      </c>
      <c r="I44" s="787">
        <f t="shared" si="4"/>
        <v>27281453</v>
      </c>
      <c r="J44" s="787">
        <f t="shared" si="4"/>
        <v>0</v>
      </c>
      <c r="K44" s="787">
        <f t="shared" si="4"/>
        <v>358365345</v>
      </c>
      <c r="L44" s="787">
        <f t="shared" si="4"/>
        <v>2922114682</v>
      </c>
      <c r="M44" s="67"/>
      <c r="N44" s="87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8.5" thickBot="1" x14ac:dyDescent="0.45">
      <c r="A45" s="8"/>
      <c r="B45" s="977" t="s">
        <v>377</v>
      </c>
      <c r="C45" s="978"/>
      <c r="D45" s="788" t="s">
        <v>988</v>
      </c>
      <c r="E45" s="789">
        <f>E44-E41-E39-E37-E35</f>
        <v>680098509</v>
      </c>
      <c r="F45" s="789">
        <f t="shared" ref="F45:L45" si="5">F44-F41-F39-F37-F35</f>
        <v>1819429375</v>
      </c>
      <c r="G45" s="789">
        <f t="shared" si="5"/>
        <v>2340000</v>
      </c>
      <c r="H45" s="789">
        <f t="shared" si="5"/>
        <v>34600000</v>
      </c>
      <c r="I45" s="789">
        <f t="shared" si="5"/>
        <v>27281453</v>
      </c>
      <c r="J45" s="789">
        <f t="shared" si="5"/>
        <v>0</v>
      </c>
      <c r="K45" s="789">
        <f t="shared" si="5"/>
        <v>276610700</v>
      </c>
      <c r="L45" s="789">
        <f t="shared" si="5"/>
        <v>2840360037</v>
      </c>
      <c r="M45" s="67"/>
      <c r="N45" s="87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s="8" customFormat="1" x14ac:dyDescent="0.25">
      <c r="E46" s="8" t="s">
        <v>751</v>
      </c>
      <c r="F46" s="8" t="s">
        <v>751</v>
      </c>
      <c r="G46" s="8" t="s">
        <v>751</v>
      </c>
      <c r="H46" s="8" t="s">
        <v>751</v>
      </c>
      <c r="I46" s="8" t="s">
        <v>751</v>
      </c>
      <c r="L46" s="290"/>
      <c r="M46" s="67"/>
      <c r="N46" s="87"/>
    </row>
    <row r="47" spans="1:26" x14ac:dyDescent="0.25">
      <c r="A47" s="8"/>
      <c r="B47" s="590"/>
      <c r="C47" s="390"/>
      <c r="D47" s="390"/>
      <c r="E47" s="391">
        <f>E42+H42</f>
        <v>714698509</v>
      </c>
      <c r="F47" s="390"/>
      <c r="G47" s="390"/>
      <c r="H47" s="390"/>
      <c r="I47" s="390"/>
      <c r="J47" s="390"/>
      <c r="K47" s="390"/>
      <c r="L47" s="423"/>
      <c r="M47" s="67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x14ac:dyDescent="0.25">
      <c r="A48" s="8"/>
      <c r="B48" s="39"/>
      <c r="C48" s="8"/>
      <c r="D48" s="8"/>
      <c r="E48" s="8"/>
      <c r="F48" s="8"/>
      <c r="G48" s="8"/>
      <c r="H48" s="8"/>
      <c r="I48" s="8"/>
      <c r="J48" s="8"/>
      <c r="K48" s="8"/>
      <c r="L48" s="290"/>
      <c r="M48" s="67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x14ac:dyDescent="0.25">
      <c r="A49" s="8"/>
      <c r="B49" s="39"/>
      <c r="C49" s="8"/>
      <c r="D49" s="8"/>
      <c r="E49" s="8"/>
      <c r="F49" s="8"/>
      <c r="G49" s="8"/>
      <c r="H49" s="8"/>
      <c r="I49" s="8"/>
      <c r="J49" s="8"/>
      <c r="K49" s="87"/>
      <c r="L49" s="290"/>
      <c r="M49" s="67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x14ac:dyDescent="0.25">
      <c r="A50" s="8"/>
      <c r="B50" s="39"/>
      <c r="C50" s="291"/>
      <c r="D50" s="8"/>
      <c r="E50" s="8"/>
      <c r="F50" s="8"/>
      <c r="G50" s="8"/>
      <c r="H50" s="8"/>
      <c r="I50" s="8"/>
      <c r="J50" s="8"/>
      <c r="K50" s="8"/>
      <c r="L50" s="290"/>
      <c r="M50" s="67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x14ac:dyDescent="0.25">
      <c r="A51" s="8"/>
      <c r="B51" s="39"/>
      <c r="C51" s="291"/>
      <c r="D51" s="8"/>
      <c r="E51" s="8"/>
      <c r="F51" s="8"/>
      <c r="G51" s="8"/>
      <c r="H51" s="8"/>
      <c r="I51" s="8"/>
      <c r="J51" s="8"/>
      <c r="K51" s="8"/>
      <c r="L51" s="290"/>
      <c r="M51" s="67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x14ac:dyDescent="0.25">
      <c r="A52" s="8"/>
      <c r="B52" s="39"/>
      <c r="C52" s="291"/>
      <c r="D52" s="8"/>
      <c r="E52" s="8"/>
      <c r="F52" s="8"/>
      <c r="G52" s="8"/>
      <c r="H52" s="8"/>
      <c r="I52" s="8"/>
      <c r="J52" s="8"/>
      <c r="K52" s="8"/>
      <c r="L52" s="8"/>
      <c r="M52" s="67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7"/>
      <c r="M53" s="67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x14ac:dyDescent="0.25">
      <c r="A54" s="8"/>
      <c r="B54" s="39"/>
      <c r="C54" s="8"/>
      <c r="D54" s="8"/>
      <c r="E54" s="8"/>
      <c r="F54" s="8"/>
      <c r="G54" s="8"/>
      <c r="H54" s="8"/>
      <c r="I54" s="8"/>
      <c r="J54" s="8"/>
      <c r="K54" s="8"/>
      <c r="L54" s="8"/>
      <c r="M54" s="67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7"/>
      <c r="M55" s="67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x14ac:dyDescent="0.25">
      <c r="A56" s="8"/>
      <c r="B56" s="39"/>
      <c r="C56" s="8"/>
      <c r="D56" s="8"/>
      <c r="E56" s="8"/>
      <c r="F56" s="8"/>
      <c r="G56" s="8"/>
      <c r="H56" s="8"/>
      <c r="I56" s="8"/>
      <c r="J56" s="8"/>
      <c r="K56" s="8"/>
      <c r="L56" s="8"/>
      <c r="M56" s="67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7"/>
      <c r="M57" s="67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67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67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67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67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67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67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67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67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67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67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67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67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67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67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67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67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67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67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67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67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67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67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67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67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67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67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67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67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67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67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67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67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67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67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67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67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67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67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67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67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67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67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67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67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67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67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67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67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67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67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67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67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67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67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67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67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</sheetData>
  <mergeCells count="36">
    <mergeCell ref="B44:C44"/>
    <mergeCell ref="B45:C45"/>
    <mergeCell ref="B42:C42"/>
    <mergeCell ref="C34:C35"/>
    <mergeCell ref="C36:C37"/>
    <mergeCell ref="C38:C39"/>
    <mergeCell ref="C40:C41"/>
    <mergeCell ref="A18:A19"/>
    <mergeCell ref="A34:A35"/>
    <mergeCell ref="A36:A37"/>
    <mergeCell ref="A38:A39"/>
    <mergeCell ref="A40:A41"/>
    <mergeCell ref="A6:A7"/>
    <mergeCell ref="A30:A31"/>
    <mergeCell ref="A28:A29"/>
    <mergeCell ref="A32:A33"/>
    <mergeCell ref="B43:C43"/>
    <mergeCell ref="C22:C23"/>
    <mergeCell ref="C28:C29"/>
    <mergeCell ref="C30:C31"/>
    <mergeCell ref="C32:C33"/>
    <mergeCell ref="A8:A9"/>
    <mergeCell ref="A10:A11"/>
    <mergeCell ref="A12:A13"/>
    <mergeCell ref="C12:C13"/>
    <mergeCell ref="A14:A15"/>
    <mergeCell ref="A16:A17"/>
    <mergeCell ref="C16:C17"/>
    <mergeCell ref="A3:A5"/>
    <mergeCell ref="K2:L2"/>
    <mergeCell ref="L3:L5"/>
    <mergeCell ref="B3:D5"/>
    <mergeCell ref="E3:E5"/>
    <mergeCell ref="F3:F5"/>
    <mergeCell ref="G3:G5"/>
    <mergeCell ref="H3:H5"/>
  </mergeCells>
  <pageMargins left="0.19685039370078741" right="0.19685039370078741" top="0.39370078740157483" bottom="0.39370078740157483" header="0" footer="0"/>
  <pageSetup paperSize="8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AI407"/>
  <sheetViews>
    <sheetView zoomScaleNormal="100" workbookViewId="0">
      <selection activeCell="A396" sqref="A396:XFD407"/>
    </sheetView>
  </sheetViews>
  <sheetFormatPr defaultRowHeight="12.5" x14ac:dyDescent="0.25"/>
  <cols>
    <col min="1" max="1" width="2.81640625" style="1" customWidth="1"/>
    <col min="2" max="2" width="2.81640625" customWidth="1"/>
    <col min="3" max="3" width="15.453125" customWidth="1"/>
    <col min="4" max="4" width="10.1796875" customWidth="1"/>
    <col min="5" max="5" width="16.6328125" customWidth="1"/>
    <col min="6" max="6" width="15" customWidth="1"/>
    <col min="7" max="7" width="15.54296875" customWidth="1"/>
    <col min="8" max="8" width="15" customWidth="1"/>
    <col min="9" max="9" width="15.1796875" customWidth="1"/>
    <col min="10" max="10" width="12.54296875" customWidth="1"/>
    <col min="11" max="11" width="13.54296875" customWidth="1"/>
    <col min="12" max="12" width="13.453125" customWidth="1"/>
    <col min="13" max="13" width="16.1796875" customWidth="1"/>
    <col min="14" max="14" width="9.1796875" style="1"/>
    <col min="15" max="15" width="13.81640625" style="392" bestFit="1" customWidth="1"/>
    <col min="16" max="16" width="12.81640625" style="390" bestFit="1" customWidth="1"/>
    <col min="17" max="17" width="15.81640625" customWidth="1"/>
    <col min="18" max="18" width="11.81640625" customWidth="1"/>
    <col min="19" max="19" width="12.54296875" customWidth="1"/>
    <col min="20" max="20" width="11.453125" customWidth="1"/>
    <col min="23" max="23" width="14.81640625" customWidth="1"/>
    <col min="24" max="24" width="14.81640625" bestFit="1" customWidth="1"/>
    <col min="25" max="25" width="16.81640625" customWidth="1"/>
  </cols>
  <sheetData>
    <row r="1" spans="1:35" ht="15.5" x14ac:dyDescent="0.35">
      <c r="A1" s="67"/>
      <c r="B1" s="3" t="s">
        <v>322</v>
      </c>
      <c r="C1" s="24"/>
      <c r="D1" s="25"/>
      <c r="E1" s="26"/>
      <c r="F1" s="27"/>
      <c r="G1" s="27"/>
      <c r="H1" s="27" t="s">
        <v>787</v>
      </c>
      <c r="I1" s="27"/>
      <c r="J1" s="27"/>
      <c r="K1" s="27"/>
      <c r="L1" s="27"/>
      <c r="M1" s="27" t="s">
        <v>706</v>
      </c>
      <c r="N1" s="67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spans="1:35" ht="14.5" thickBot="1" x14ac:dyDescent="0.35">
      <c r="A2" s="67"/>
      <c r="B2" s="28"/>
      <c r="C2" s="3" t="s">
        <v>163</v>
      </c>
      <c r="D2" s="29"/>
      <c r="E2" s="30"/>
      <c r="F2" s="31"/>
      <c r="G2" s="31"/>
      <c r="H2" s="31"/>
      <c r="I2" s="32"/>
      <c r="J2" s="32"/>
      <c r="K2" s="32"/>
      <c r="L2" s="32"/>
      <c r="M2" s="32" t="s">
        <v>699</v>
      </c>
      <c r="N2" s="67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ht="12.75" customHeight="1" x14ac:dyDescent="0.25">
      <c r="A3" s="67"/>
      <c r="B3" s="930" t="s">
        <v>48</v>
      </c>
      <c r="C3" s="931"/>
      <c r="D3" s="932"/>
      <c r="E3" s="924" t="s">
        <v>216</v>
      </c>
      <c r="F3" s="922" t="s">
        <v>217</v>
      </c>
      <c r="G3" s="922" t="s">
        <v>218</v>
      </c>
      <c r="H3" s="922" t="s">
        <v>368</v>
      </c>
      <c r="I3" s="922" t="s">
        <v>259</v>
      </c>
      <c r="J3" s="922" t="s">
        <v>256</v>
      </c>
      <c r="K3" s="922" t="s">
        <v>260</v>
      </c>
      <c r="L3" s="922" t="s">
        <v>220</v>
      </c>
      <c r="M3" s="928" t="s">
        <v>49</v>
      </c>
      <c r="N3" s="67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5" x14ac:dyDescent="0.25">
      <c r="A4" s="67"/>
      <c r="B4" s="933"/>
      <c r="C4" s="934"/>
      <c r="D4" s="935"/>
      <c r="E4" s="925"/>
      <c r="F4" s="923"/>
      <c r="G4" s="923"/>
      <c r="H4" s="927"/>
      <c r="I4" s="927"/>
      <c r="J4" s="927"/>
      <c r="K4" s="927"/>
      <c r="L4" s="927"/>
      <c r="M4" s="929"/>
      <c r="N4" s="6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35" ht="45" customHeight="1" thickBot="1" x14ac:dyDescent="0.3">
      <c r="A5" s="67"/>
      <c r="B5" s="1084"/>
      <c r="C5" s="1085"/>
      <c r="D5" s="1086"/>
      <c r="E5" s="1087"/>
      <c r="F5" s="954"/>
      <c r="G5" s="954"/>
      <c r="H5" s="1088"/>
      <c r="I5" s="1088"/>
      <c r="J5" s="1088"/>
      <c r="K5" s="1088"/>
      <c r="L5" s="1088"/>
      <c r="M5" s="929"/>
      <c r="N5" s="6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</row>
    <row r="6" spans="1:35" ht="13" x14ac:dyDescent="0.3">
      <c r="A6" s="67"/>
      <c r="B6" s="46"/>
      <c r="C6" s="1030" t="s">
        <v>1004</v>
      </c>
      <c r="D6" s="720" t="s">
        <v>79</v>
      </c>
      <c r="E6" s="445">
        <v>208718759</v>
      </c>
      <c r="F6" s="445">
        <v>31008850</v>
      </c>
      <c r="G6" s="445">
        <v>16230033</v>
      </c>
      <c r="H6" s="445">
        <v>0</v>
      </c>
      <c r="I6" s="445">
        <v>0</v>
      </c>
      <c r="J6" s="445">
        <v>0</v>
      </c>
      <c r="K6" s="445">
        <v>0</v>
      </c>
      <c r="L6" s="445">
        <v>0</v>
      </c>
      <c r="M6" s="472">
        <f>E6+F6+G6+H6+I6+J6+K6+L6</f>
        <v>255957642</v>
      </c>
      <c r="N6" s="67" t="s">
        <v>158</v>
      </c>
      <c r="P6" s="391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13.5" thickBot="1" x14ac:dyDescent="0.35">
      <c r="A7" s="67"/>
      <c r="B7" s="34"/>
      <c r="C7" s="1040"/>
      <c r="D7" s="659" t="s">
        <v>988</v>
      </c>
      <c r="E7" s="449">
        <v>226868368</v>
      </c>
      <c r="F7" s="449">
        <v>33350450</v>
      </c>
      <c r="G7" s="462">
        <v>17402819</v>
      </c>
      <c r="H7" s="449">
        <v>0</v>
      </c>
      <c r="I7" s="449">
        <v>0</v>
      </c>
      <c r="J7" s="449">
        <v>0</v>
      </c>
      <c r="K7" s="449">
        <v>0</v>
      </c>
      <c r="L7" s="449">
        <v>0</v>
      </c>
      <c r="M7" s="457">
        <f>SUM(E7:L7)</f>
        <v>277621637</v>
      </c>
      <c r="N7" s="67" t="s">
        <v>158</v>
      </c>
      <c r="P7" s="391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</row>
    <row r="8" spans="1:35" ht="13" x14ac:dyDescent="0.3">
      <c r="A8" s="67"/>
      <c r="B8" s="46"/>
      <c r="C8" s="1030" t="s">
        <v>1005</v>
      </c>
      <c r="D8" s="720" t="s">
        <v>79</v>
      </c>
      <c r="E8" s="445">
        <v>167936011</v>
      </c>
      <c r="F8" s="445">
        <v>22842560</v>
      </c>
      <c r="G8" s="445">
        <v>11763316</v>
      </c>
      <c r="H8" s="445">
        <v>0</v>
      </c>
      <c r="I8" s="445">
        <v>0</v>
      </c>
      <c r="J8" s="445">
        <v>0</v>
      </c>
      <c r="K8" s="445">
        <v>0</v>
      </c>
      <c r="L8" s="445">
        <v>0</v>
      </c>
      <c r="M8" s="451">
        <f>E8+F8+G8+H8+I8+J8+K8+L8</f>
        <v>202541887</v>
      </c>
      <c r="N8" s="67" t="s">
        <v>158</v>
      </c>
      <c r="P8" s="391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</row>
    <row r="9" spans="1:35" ht="13.5" thickBot="1" x14ac:dyDescent="0.35">
      <c r="A9" s="67"/>
      <c r="B9" s="34"/>
      <c r="C9" s="1040"/>
      <c r="D9" s="659" t="s">
        <v>988</v>
      </c>
      <c r="E9" s="449">
        <v>184892235</v>
      </c>
      <c r="F9" s="449">
        <v>25046870</v>
      </c>
      <c r="G9" s="462">
        <v>16782306</v>
      </c>
      <c r="H9" s="449">
        <v>0</v>
      </c>
      <c r="I9" s="449">
        <v>0</v>
      </c>
      <c r="J9" s="449">
        <v>0</v>
      </c>
      <c r="K9" s="449">
        <v>0</v>
      </c>
      <c r="L9" s="449">
        <v>0</v>
      </c>
      <c r="M9" s="457">
        <f>SUM(E9:L9)</f>
        <v>226721411</v>
      </c>
      <c r="N9" s="67" t="s">
        <v>158</v>
      </c>
      <c r="P9" s="391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13" x14ac:dyDescent="0.3">
      <c r="A10" s="67"/>
      <c r="B10" s="46"/>
      <c r="C10" s="47" t="s">
        <v>258</v>
      </c>
      <c r="D10" s="282" t="s">
        <v>79</v>
      </c>
      <c r="E10" s="445">
        <v>159490665</v>
      </c>
      <c r="F10" s="445">
        <v>22109441</v>
      </c>
      <c r="G10" s="445">
        <v>16098140</v>
      </c>
      <c r="H10" s="445">
        <v>0</v>
      </c>
      <c r="I10" s="445">
        <v>0</v>
      </c>
      <c r="J10" s="445">
        <v>0</v>
      </c>
      <c r="K10" s="445">
        <v>0</v>
      </c>
      <c r="L10" s="445">
        <v>0</v>
      </c>
      <c r="M10" s="451">
        <f>E10+F10+G10+H10+I10+J10+K10+L10</f>
        <v>197698246</v>
      </c>
      <c r="N10" s="67" t="s">
        <v>158</v>
      </c>
      <c r="P10" s="391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</row>
    <row r="11" spans="1:35" ht="13.5" thickBot="1" x14ac:dyDescent="0.35">
      <c r="A11" s="67"/>
      <c r="B11" s="34"/>
      <c r="C11" s="35"/>
      <c r="D11" s="284" t="s">
        <v>988</v>
      </c>
      <c r="E11" s="449">
        <v>173674865</v>
      </c>
      <c r="F11" s="449">
        <v>23947011</v>
      </c>
      <c r="G11" s="462">
        <v>16283680</v>
      </c>
      <c r="H11" s="449">
        <v>0</v>
      </c>
      <c r="I11" s="449">
        <v>0</v>
      </c>
      <c r="J11" s="449">
        <v>0</v>
      </c>
      <c r="K11" s="449">
        <v>0</v>
      </c>
      <c r="L11" s="449">
        <v>0</v>
      </c>
      <c r="M11" s="457">
        <f>SUM(E11:L11)</f>
        <v>213905556</v>
      </c>
      <c r="N11" s="67" t="s">
        <v>158</v>
      </c>
      <c r="P11" s="391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  <row r="12" spans="1:35" ht="13" x14ac:dyDescent="0.3">
      <c r="A12" s="67"/>
      <c r="B12" s="46"/>
      <c r="C12" s="47" t="s">
        <v>1006</v>
      </c>
      <c r="D12" s="282" t="s">
        <v>79</v>
      </c>
      <c r="E12" s="445">
        <v>101003304</v>
      </c>
      <c r="F12" s="445">
        <v>13672110</v>
      </c>
      <c r="G12" s="445">
        <v>8026433</v>
      </c>
      <c r="H12" s="445">
        <v>0</v>
      </c>
      <c r="I12" s="445">
        <v>0</v>
      </c>
      <c r="J12" s="445">
        <v>0</v>
      </c>
      <c r="K12" s="445">
        <v>0</v>
      </c>
      <c r="L12" s="445">
        <v>0</v>
      </c>
      <c r="M12" s="451">
        <f>E12+F12+G12+H12+I12+J12+K12+L12</f>
        <v>122701847</v>
      </c>
      <c r="N12" s="67" t="s">
        <v>158</v>
      </c>
      <c r="P12" s="391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ht="13.5" thickBot="1" x14ac:dyDescent="0.35">
      <c r="A13" s="67"/>
      <c r="B13" s="34"/>
      <c r="C13" s="35"/>
      <c r="D13" s="284" t="s">
        <v>988</v>
      </c>
      <c r="E13" s="449">
        <v>109690614</v>
      </c>
      <c r="F13" s="449">
        <v>14793954</v>
      </c>
      <c r="G13" s="462">
        <v>9561991</v>
      </c>
      <c r="H13" s="449">
        <v>0</v>
      </c>
      <c r="I13" s="449">
        <v>0</v>
      </c>
      <c r="J13" s="449">
        <v>0</v>
      </c>
      <c r="K13" s="449">
        <v>0</v>
      </c>
      <c r="L13" s="449">
        <v>0</v>
      </c>
      <c r="M13" s="457">
        <f>SUM(E13:L13)</f>
        <v>134046559</v>
      </c>
      <c r="N13" s="67" t="s">
        <v>158</v>
      </c>
      <c r="P13" s="391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</row>
    <row r="14" spans="1:35" ht="13" customHeight="1" x14ac:dyDescent="0.3">
      <c r="A14" s="67"/>
      <c r="B14" s="46"/>
      <c r="C14" s="1030" t="s">
        <v>1007</v>
      </c>
      <c r="D14" s="720" t="s">
        <v>79</v>
      </c>
      <c r="E14" s="445">
        <v>112188330</v>
      </c>
      <c r="F14" s="445">
        <v>15099926</v>
      </c>
      <c r="G14" s="445">
        <v>9914166</v>
      </c>
      <c r="H14" s="445">
        <v>0</v>
      </c>
      <c r="I14" s="445">
        <v>0</v>
      </c>
      <c r="J14" s="445">
        <v>0</v>
      </c>
      <c r="K14" s="445">
        <v>0</v>
      </c>
      <c r="L14" s="445">
        <v>0</v>
      </c>
      <c r="M14" s="451">
        <f>E14+F14+G14+H14+I14+J14+K14+L14</f>
        <v>137202422</v>
      </c>
      <c r="N14" s="67" t="s">
        <v>158</v>
      </c>
      <c r="P14" s="391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5" ht="13.5" thickBot="1" x14ac:dyDescent="0.35">
      <c r="A15" s="67"/>
      <c r="B15" s="34"/>
      <c r="C15" s="1040"/>
      <c r="D15" s="659" t="s">
        <v>988</v>
      </c>
      <c r="E15" s="449">
        <v>122169341</v>
      </c>
      <c r="F15" s="449">
        <v>16383655</v>
      </c>
      <c r="G15" s="462">
        <v>10681453</v>
      </c>
      <c r="H15" s="449">
        <v>0</v>
      </c>
      <c r="I15" s="449">
        <v>0</v>
      </c>
      <c r="J15" s="449">
        <v>0</v>
      </c>
      <c r="K15" s="449">
        <v>0</v>
      </c>
      <c r="L15" s="449">
        <v>0</v>
      </c>
      <c r="M15" s="457">
        <f>SUM(E15:L15)</f>
        <v>149234449</v>
      </c>
      <c r="N15" s="67" t="s">
        <v>158</v>
      </c>
      <c r="P15" s="391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ht="14.5" customHeight="1" x14ac:dyDescent="0.35">
      <c r="A16" s="67"/>
      <c r="B16" s="46"/>
      <c r="C16" s="1030" t="s">
        <v>1008</v>
      </c>
      <c r="D16" s="720" t="s">
        <v>79</v>
      </c>
      <c r="E16" s="445">
        <v>241414190</v>
      </c>
      <c r="F16" s="445">
        <v>36844048</v>
      </c>
      <c r="G16" s="445">
        <v>18979295</v>
      </c>
      <c r="H16" s="445">
        <v>0</v>
      </c>
      <c r="I16" s="445">
        <v>0</v>
      </c>
      <c r="J16" s="445">
        <v>0</v>
      </c>
      <c r="K16" s="445">
        <v>0</v>
      </c>
      <c r="L16" s="445">
        <v>0</v>
      </c>
      <c r="M16" s="451">
        <f>E16+F16+G16+H16+I16+J16+K16+L16</f>
        <v>297237533</v>
      </c>
      <c r="N16" s="67" t="s">
        <v>158</v>
      </c>
      <c r="O16" s="609"/>
      <c r="P16" s="391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:35" ht="13.5" thickBot="1" x14ac:dyDescent="0.35">
      <c r="A17" s="67"/>
      <c r="B17" s="34"/>
      <c r="C17" s="1040"/>
      <c r="D17" s="659" t="s">
        <v>988</v>
      </c>
      <c r="E17" s="449">
        <v>262796720</v>
      </c>
      <c r="F17" s="449">
        <v>39619610</v>
      </c>
      <c r="G17" s="462">
        <v>21297534</v>
      </c>
      <c r="H17" s="449">
        <v>0</v>
      </c>
      <c r="I17" s="449">
        <v>0</v>
      </c>
      <c r="J17" s="449">
        <v>0</v>
      </c>
      <c r="K17" s="449">
        <v>0</v>
      </c>
      <c r="L17" s="449">
        <v>0</v>
      </c>
      <c r="M17" s="457">
        <f>SUM(E17:L17)</f>
        <v>323713864</v>
      </c>
      <c r="N17" s="67" t="s">
        <v>158</v>
      </c>
      <c r="P17" s="391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</row>
    <row r="18" spans="1:35" ht="13" customHeight="1" x14ac:dyDescent="0.3">
      <c r="A18" s="67"/>
      <c r="B18" s="46"/>
      <c r="C18" s="1030" t="s">
        <v>1009</v>
      </c>
      <c r="D18" s="720" t="s">
        <v>79</v>
      </c>
      <c r="E18" s="445">
        <v>154054024</v>
      </c>
      <c r="F18" s="445">
        <v>21009758</v>
      </c>
      <c r="G18" s="445">
        <v>13968278</v>
      </c>
      <c r="H18" s="445">
        <v>0</v>
      </c>
      <c r="I18" s="445">
        <v>0</v>
      </c>
      <c r="J18" s="445">
        <v>0</v>
      </c>
      <c r="K18" s="445">
        <v>0</v>
      </c>
      <c r="L18" s="445">
        <v>0</v>
      </c>
      <c r="M18" s="451">
        <f>E18+F18+G18+H18+I18+J18+K18+L18</f>
        <v>189032060</v>
      </c>
      <c r="N18" s="67" t="s">
        <v>158</v>
      </c>
      <c r="P18" s="391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1:35" ht="13.5" thickBot="1" x14ac:dyDescent="0.35">
      <c r="A19" s="67"/>
      <c r="B19" s="34"/>
      <c r="C19" s="1040"/>
      <c r="D19" s="659" t="s">
        <v>988</v>
      </c>
      <c r="E19" s="449">
        <v>167402055</v>
      </c>
      <c r="F19" s="449">
        <v>22731243</v>
      </c>
      <c r="G19" s="462">
        <v>15174334</v>
      </c>
      <c r="H19" s="449">
        <v>0</v>
      </c>
      <c r="I19" s="449">
        <v>0</v>
      </c>
      <c r="J19" s="449">
        <v>0</v>
      </c>
      <c r="K19" s="449">
        <v>0</v>
      </c>
      <c r="L19" s="449">
        <v>0</v>
      </c>
      <c r="M19" s="457">
        <f>SUM(E19:L19)</f>
        <v>205307632</v>
      </c>
      <c r="N19" s="67" t="s">
        <v>158</v>
      </c>
      <c r="P19" s="391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ht="13" x14ac:dyDescent="0.3">
      <c r="A20" s="67"/>
      <c r="B20" s="943" t="s">
        <v>802</v>
      </c>
      <c r="C20" s="944"/>
      <c r="D20" s="945"/>
      <c r="E20" s="473">
        <f>E6+E8+E10+E12+E14+E16+E18</f>
        <v>1144805283</v>
      </c>
      <c r="F20" s="451">
        <f t="shared" ref="F20:M20" si="0">F6+F8+F10+F12+F14+F16+F18</f>
        <v>162586693</v>
      </c>
      <c r="G20" s="451">
        <f t="shared" si="0"/>
        <v>94979661</v>
      </c>
      <c r="H20" s="451">
        <f t="shared" si="0"/>
        <v>0</v>
      </c>
      <c r="I20" s="451">
        <f t="shared" si="0"/>
        <v>0</v>
      </c>
      <c r="J20" s="451">
        <f t="shared" si="0"/>
        <v>0</v>
      </c>
      <c r="K20" s="451">
        <f t="shared" si="0"/>
        <v>0</v>
      </c>
      <c r="L20" s="451">
        <f t="shared" si="0"/>
        <v>0</v>
      </c>
      <c r="M20" s="473">
        <f t="shared" si="0"/>
        <v>1402371637</v>
      </c>
      <c r="N20" s="67" t="s">
        <v>158</v>
      </c>
      <c r="O20" s="394">
        <f>SUM(E20:L20)</f>
        <v>1402371637</v>
      </c>
      <c r="P20" s="391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</row>
    <row r="21" spans="1:35" ht="13.5" thickBot="1" x14ac:dyDescent="0.35">
      <c r="A21" s="67"/>
      <c r="B21" s="946" t="s">
        <v>1010</v>
      </c>
      <c r="C21" s="947"/>
      <c r="D21" s="948"/>
      <c r="E21" s="474">
        <f>E7+E9+E11+E13+E15+E17+E19</f>
        <v>1247494198</v>
      </c>
      <c r="F21" s="474">
        <f t="shared" ref="F21:M21" si="1">F7+F9+F11+F13+F15+F17+F19</f>
        <v>175872793</v>
      </c>
      <c r="G21" s="474">
        <f t="shared" si="1"/>
        <v>107184117</v>
      </c>
      <c r="H21" s="474">
        <f t="shared" si="1"/>
        <v>0</v>
      </c>
      <c r="I21" s="474">
        <f t="shared" si="1"/>
        <v>0</v>
      </c>
      <c r="J21" s="474">
        <f t="shared" si="1"/>
        <v>0</v>
      </c>
      <c r="K21" s="474">
        <f t="shared" si="1"/>
        <v>0</v>
      </c>
      <c r="L21" s="474">
        <f t="shared" si="1"/>
        <v>0</v>
      </c>
      <c r="M21" s="474">
        <f t="shared" si="1"/>
        <v>1530551108</v>
      </c>
      <c r="N21" s="67" t="s">
        <v>158</v>
      </c>
      <c r="P21" s="391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</row>
    <row r="22" spans="1:35" ht="13" customHeight="1" x14ac:dyDescent="0.3">
      <c r="A22" s="67"/>
      <c r="B22" s="49"/>
      <c r="C22" s="1059" t="s">
        <v>1011</v>
      </c>
      <c r="D22" s="721" t="s">
        <v>79</v>
      </c>
      <c r="E22" s="451">
        <v>627581846</v>
      </c>
      <c r="F22" s="451">
        <v>92047289</v>
      </c>
      <c r="G22" s="451">
        <v>93400313</v>
      </c>
      <c r="H22" s="451">
        <v>0</v>
      </c>
      <c r="I22" s="451">
        <v>0</v>
      </c>
      <c r="J22" s="451">
        <v>0</v>
      </c>
      <c r="K22" s="451">
        <v>0</v>
      </c>
      <c r="L22" s="451">
        <v>0</v>
      </c>
      <c r="M22" s="451">
        <f>E22+F22+G22+H22+I22+J22+K22+L22</f>
        <v>813029448</v>
      </c>
      <c r="N22" s="67" t="s">
        <v>158</v>
      </c>
      <c r="P22" s="391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</row>
    <row r="23" spans="1:35" ht="28.5" customHeight="1" thickBot="1" x14ac:dyDescent="0.35">
      <c r="A23" s="67"/>
      <c r="B23" s="50"/>
      <c r="C23" s="1063"/>
      <c r="D23" s="661" t="s">
        <v>988</v>
      </c>
      <c r="E23" s="456">
        <v>664247292</v>
      </c>
      <c r="F23" s="456">
        <v>96813797</v>
      </c>
      <c r="G23" s="456">
        <v>93712459</v>
      </c>
      <c r="H23" s="456">
        <v>0</v>
      </c>
      <c r="I23" s="456">
        <v>0</v>
      </c>
      <c r="J23" s="456">
        <v>0</v>
      </c>
      <c r="K23" s="456">
        <v>0</v>
      </c>
      <c r="L23" s="456">
        <v>0</v>
      </c>
      <c r="M23" s="457">
        <f>SUM(E23:L23)</f>
        <v>854773548</v>
      </c>
      <c r="N23" s="67" t="s">
        <v>158</v>
      </c>
      <c r="P23" s="391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</row>
    <row r="24" spans="1:35" ht="13" x14ac:dyDescent="0.3">
      <c r="A24" s="67"/>
      <c r="B24" s="46"/>
      <c r="C24" s="1049" t="s">
        <v>1012</v>
      </c>
      <c r="D24" s="657" t="s">
        <v>79</v>
      </c>
      <c r="E24" s="451">
        <v>107014447</v>
      </c>
      <c r="F24" s="451">
        <v>14370071</v>
      </c>
      <c r="G24" s="455">
        <v>64711191</v>
      </c>
      <c r="H24" s="451">
        <f>SUM(H22:H23)</f>
        <v>0</v>
      </c>
      <c r="I24" s="451">
        <f>SUM(I22:I23)</f>
        <v>0</v>
      </c>
      <c r="J24" s="451">
        <f>SUM(J22:J23)</f>
        <v>0</v>
      </c>
      <c r="K24" s="451">
        <f>SUM(K22:K23)</f>
        <v>0</v>
      </c>
      <c r="L24" s="451">
        <f>SUM(L22:L23)</f>
        <v>0</v>
      </c>
      <c r="M24" s="451">
        <f>E24+F24+G24+H24+I24+J24+K24+L24</f>
        <v>186095709</v>
      </c>
      <c r="N24" s="67" t="s">
        <v>157</v>
      </c>
      <c r="P24" s="391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</row>
    <row r="25" spans="1:35" ht="13.5" thickBot="1" x14ac:dyDescent="0.35">
      <c r="A25" s="67"/>
      <c r="B25" s="34"/>
      <c r="C25" s="1051"/>
      <c r="D25" s="353" t="s">
        <v>988</v>
      </c>
      <c r="E25" s="452">
        <v>114885792</v>
      </c>
      <c r="F25" s="452">
        <v>15289650</v>
      </c>
      <c r="G25" s="452">
        <v>64783373</v>
      </c>
      <c r="H25" s="452">
        <v>0</v>
      </c>
      <c r="I25" s="452">
        <v>0</v>
      </c>
      <c r="J25" s="452">
        <v>0</v>
      </c>
      <c r="K25" s="452">
        <v>0</v>
      </c>
      <c r="L25" s="452">
        <v>0</v>
      </c>
      <c r="M25" s="457">
        <f>SUM(E25:L25)</f>
        <v>194958815</v>
      </c>
      <c r="N25" s="67" t="s">
        <v>157</v>
      </c>
      <c r="P25" s="391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</row>
    <row r="26" spans="1:35" ht="18" customHeight="1" x14ac:dyDescent="0.3">
      <c r="A26" s="67"/>
      <c r="B26" s="46"/>
      <c r="C26" s="1030" t="s">
        <v>1013</v>
      </c>
      <c r="D26" s="657" t="s">
        <v>79</v>
      </c>
      <c r="E26" s="458">
        <v>7941804</v>
      </c>
      <c r="F26" s="458">
        <v>1094319</v>
      </c>
      <c r="G26" s="458">
        <v>28558915</v>
      </c>
      <c r="H26" s="458">
        <v>0</v>
      </c>
      <c r="I26" s="458">
        <v>0</v>
      </c>
      <c r="J26" s="458">
        <v>0</v>
      </c>
      <c r="K26" s="458">
        <v>0</v>
      </c>
      <c r="L26" s="445">
        <v>0</v>
      </c>
      <c r="M26" s="472">
        <f>SUM(E26:L26)+1</f>
        <v>37595039</v>
      </c>
      <c r="N26" s="94" t="s">
        <v>157</v>
      </c>
      <c r="P26" s="391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7" spans="1:35" ht="26.25" customHeight="1" thickBot="1" x14ac:dyDescent="0.35">
      <c r="A27" s="67"/>
      <c r="B27" s="48"/>
      <c r="C27" s="1040"/>
      <c r="D27" s="353" t="s">
        <v>988</v>
      </c>
      <c r="E27" s="460">
        <f>7941804+391547</f>
        <v>8333351</v>
      </c>
      <c r="F27" s="460">
        <f>1094319+50901</f>
        <v>1145220</v>
      </c>
      <c r="G27" s="460">
        <f>28558915-3540000</f>
        <v>25018915</v>
      </c>
      <c r="H27" s="460">
        <v>0</v>
      </c>
      <c r="I27" s="460">
        <v>0</v>
      </c>
      <c r="J27" s="460">
        <v>0</v>
      </c>
      <c r="K27" s="460">
        <v>0</v>
      </c>
      <c r="L27" s="461">
        <v>0</v>
      </c>
      <c r="M27" s="474">
        <f>SUM(E27:L27)</f>
        <v>34497486</v>
      </c>
      <c r="N27" s="94" t="s">
        <v>157</v>
      </c>
      <c r="P27" s="391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</row>
    <row r="28" spans="1:35" ht="19.25" customHeight="1" x14ac:dyDescent="0.3">
      <c r="A28" s="67"/>
      <c r="B28" s="46"/>
      <c r="C28" s="1030" t="s">
        <v>1014</v>
      </c>
      <c r="D28" s="657" t="s">
        <v>79</v>
      </c>
      <c r="E28" s="458">
        <v>86110461</v>
      </c>
      <c r="F28" s="458">
        <v>24572316</v>
      </c>
      <c r="G28" s="458">
        <v>29052319</v>
      </c>
      <c r="H28" s="458">
        <v>0</v>
      </c>
      <c r="I28" s="458">
        <v>0</v>
      </c>
      <c r="J28" s="458">
        <v>0</v>
      </c>
      <c r="K28" s="458">
        <v>0</v>
      </c>
      <c r="L28" s="445">
        <v>0</v>
      </c>
      <c r="M28" s="472">
        <f>SUM(E28:L28)+1</f>
        <v>139735097</v>
      </c>
      <c r="N28" s="67" t="s">
        <v>158</v>
      </c>
      <c r="P28" s="391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</row>
    <row r="29" spans="1:35" ht="13.5" thickBot="1" x14ac:dyDescent="0.35">
      <c r="A29" s="67"/>
      <c r="B29" s="48"/>
      <c r="C29" s="1040"/>
      <c r="D29" s="353" t="s">
        <v>988</v>
      </c>
      <c r="E29" s="460">
        <f>86110461+5005741</f>
        <v>91116202</v>
      </c>
      <c r="F29" s="460">
        <f>24572316+650747</f>
        <v>25223063</v>
      </c>
      <c r="G29" s="460">
        <f>29052319-124991</f>
        <v>28927328</v>
      </c>
      <c r="H29" s="460">
        <v>0</v>
      </c>
      <c r="I29" s="460">
        <v>0</v>
      </c>
      <c r="J29" s="460">
        <v>0</v>
      </c>
      <c r="K29" s="460">
        <v>0</v>
      </c>
      <c r="L29" s="461">
        <v>0</v>
      </c>
      <c r="M29" s="454">
        <f>SUM(E29:L29)</f>
        <v>145266593</v>
      </c>
      <c r="N29" s="67" t="s">
        <v>158</v>
      </c>
      <c r="P29" s="391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</row>
    <row r="30" spans="1:35" ht="13" customHeight="1" x14ac:dyDescent="0.3">
      <c r="A30" s="67"/>
      <c r="B30" s="46"/>
      <c r="C30" s="960" t="s">
        <v>1015</v>
      </c>
      <c r="D30" s="657" t="s">
        <v>79</v>
      </c>
      <c r="E30" s="458">
        <v>348873482</v>
      </c>
      <c r="F30" s="458">
        <v>48567590</v>
      </c>
      <c r="G30" s="458">
        <v>755710612</v>
      </c>
      <c r="H30" s="458">
        <v>0</v>
      </c>
      <c r="I30" s="458">
        <v>0</v>
      </c>
      <c r="J30" s="458">
        <v>0</v>
      </c>
      <c r="K30" s="458">
        <v>0</v>
      </c>
      <c r="L30" s="458">
        <v>0</v>
      </c>
      <c r="M30" s="451">
        <f>SUM(E30:L30)+1</f>
        <v>1153151685</v>
      </c>
      <c r="N30" s="67" t="s">
        <v>158</v>
      </c>
      <c r="P30" s="391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35" ht="20.5" customHeight="1" thickBot="1" x14ac:dyDescent="0.35">
      <c r="A31" s="67"/>
      <c r="B31" s="48"/>
      <c r="C31" s="962"/>
      <c r="D31" s="353" t="s">
        <v>988</v>
      </c>
      <c r="E31" s="460">
        <f>348873482+25006118</f>
        <v>373879600</v>
      </c>
      <c r="F31" s="460">
        <f>48567590+3250795</f>
        <v>51818385</v>
      </c>
      <c r="G31" s="460">
        <v>755710612</v>
      </c>
      <c r="H31" s="460">
        <v>0</v>
      </c>
      <c r="I31" s="460">
        <v>0</v>
      </c>
      <c r="J31" s="460">
        <v>0</v>
      </c>
      <c r="K31" s="460">
        <v>0</v>
      </c>
      <c r="L31" s="460">
        <v>0</v>
      </c>
      <c r="M31" s="454">
        <f>SUM(E31:L31)</f>
        <v>1181408597</v>
      </c>
      <c r="N31" s="67" t="s">
        <v>158</v>
      </c>
      <c r="P31" s="391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</row>
    <row r="32" spans="1:35" ht="12.75" customHeight="1" x14ac:dyDescent="0.3">
      <c r="A32" s="67"/>
      <c r="B32" s="34"/>
      <c r="C32" s="1030" t="s">
        <v>1016</v>
      </c>
      <c r="D32" s="657" t="s">
        <v>79</v>
      </c>
      <c r="E32" s="458">
        <v>104264304</v>
      </c>
      <c r="F32" s="458">
        <v>14589776</v>
      </c>
      <c r="G32" s="458">
        <v>163262241</v>
      </c>
      <c r="H32" s="458">
        <v>0</v>
      </c>
      <c r="I32" s="458">
        <v>0</v>
      </c>
      <c r="J32" s="458">
        <v>0</v>
      </c>
      <c r="K32" s="458">
        <v>0</v>
      </c>
      <c r="L32" s="458">
        <v>0</v>
      </c>
      <c r="M32" s="451">
        <f>SUM(E32:L32)</f>
        <v>282116321</v>
      </c>
      <c r="N32" s="67" t="s">
        <v>157</v>
      </c>
      <c r="P32" s="391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</row>
    <row r="33" spans="1:35" ht="33.5" customHeight="1" thickBot="1" x14ac:dyDescent="0.35">
      <c r="A33" s="67"/>
      <c r="B33" s="34"/>
      <c r="C33" s="1040"/>
      <c r="D33" s="353" t="s">
        <v>988</v>
      </c>
      <c r="E33" s="462">
        <f>104264304+6375370</f>
        <v>110639674</v>
      </c>
      <c r="F33" s="462">
        <f>14589776+828798</f>
        <v>15418574</v>
      </c>
      <c r="G33" s="462">
        <f>163262241+139685</f>
        <v>163401926</v>
      </c>
      <c r="H33" s="462">
        <v>13815</v>
      </c>
      <c r="I33" s="462">
        <v>0</v>
      </c>
      <c r="J33" s="462">
        <v>0</v>
      </c>
      <c r="K33" s="462">
        <v>0</v>
      </c>
      <c r="L33" s="462">
        <v>0</v>
      </c>
      <c r="M33" s="452">
        <f>SUM(E33:L33)</f>
        <v>289473989</v>
      </c>
      <c r="N33" s="67" t="s">
        <v>157</v>
      </c>
      <c r="P33" s="391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</row>
    <row r="34" spans="1:35" ht="13" customHeight="1" x14ac:dyDescent="0.3">
      <c r="A34" s="67"/>
      <c r="B34" s="46"/>
      <c r="C34" s="960" t="s">
        <v>1017</v>
      </c>
      <c r="D34" s="657" t="s">
        <v>79</v>
      </c>
      <c r="E34" s="458">
        <v>0</v>
      </c>
      <c r="F34" s="458">
        <v>0</v>
      </c>
      <c r="G34" s="458">
        <v>0</v>
      </c>
      <c r="H34" s="458">
        <v>0</v>
      </c>
      <c r="I34" s="458">
        <v>0</v>
      </c>
      <c r="J34" s="458">
        <v>0</v>
      </c>
      <c r="K34" s="458">
        <v>0</v>
      </c>
      <c r="L34" s="458">
        <v>0</v>
      </c>
      <c r="M34" s="451">
        <f>SUM(E34:L34)</f>
        <v>0</v>
      </c>
      <c r="N34" s="67" t="s">
        <v>157</v>
      </c>
      <c r="P34" s="391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</row>
    <row r="35" spans="1:35" ht="29.5" customHeight="1" thickBot="1" x14ac:dyDescent="0.35">
      <c r="A35" s="67"/>
      <c r="B35" s="48"/>
      <c r="C35" s="962"/>
      <c r="D35" s="353" t="s">
        <v>988</v>
      </c>
      <c r="E35" s="460">
        <v>0</v>
      </c>
      <c r="F35" s="460">
        <v>0</v>
      </c>
      <c r="G35" s="460">
        <v>0</v>
      </c>
      <c r="H35" s="460">
        <v>0</v>
      </c>
      <c r="I35" s="460">
        <v>0</v>
      </c>
      <c r="J35" s="460">
        <v>0</v>
      </c>
      <c r="K35" s="460">
        <v>0</v>
      </c>
      <c r="L35" s="460">
        <v>0</v>
      </c>
      <c r="M35" s="454">
        <f>SUM(E35:L35)</f>
        <v>0</v>
      </c>
      <c r="N35" s="67" t="s">
        <v>157</v>
      </c>
      <c r="P35" s="391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</row>
    <row r="36" spans="1:35" ht="31.25" customHeight="1" x14ac:dyDescent="0.3">
      <c r="A36" s="67"/>
      <c r="B36" s="930" t="s">
        <v>1018</v>
      </c>
      <c r="C36" s="1081"/>
      <c r="D36" s="722" t="s">
        <v>79</v>
      </c>
      <c r="E36" s="453">
        <f>E26+E28+E30+E32+E34</f>
        <v>547190051</v>
      </c>
      <c r="F36" s="453">
        <f t="shared" ref="F36:M36" si="2">F26+F28+F30+F32+F34</f>
        <v>88824001</v>
      </c>
      <c r="G36" s="453">
        <f t="shared" si="2"/>
        <v>976584087</v>
      </c>
      <c r="H36" s="453">
        <f t="shared" si="2"/>
        <v>0</v>
      </c>
      <c r="I36" s="453">
        <f t="shared" si="2"/>
        <v>0</v>
      </c>
      <c r="J36" s="453">
        <f t="shared" si="2"/>
        <v>0</v>
      </c>
      <c r="K36" s="453">
        <f t="shared" si="2"/>
        <v>0</v>
      </c>
      <c r="L36" s="453">
        <f t="shared" si="2"/>
        <v>0</v>
      </c>
      <c r="M36" s="452">
        <f t="shared" si="2"/>
        <v>1612598142</v>
      </c>
      <c r="N36" s="392" t="s">
        <v>751</v>
      </c>
      <c r="O36" s="394"/>
      <c r="P36" s="391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</row>
    <row r="37" spans="1:35" ht="13.5" thickBot="1" x14ac:dyDescent="0.35">
      <c r="A37" s="67"/>
      <c r="B37" s="1082"/>
      <c r="C37" s="1083"/>
      <c r="D37" s="62" t="s">
        <v>988</v>
      </c>
      <c r="E37" s="453">
        <f>E27+E29+E31+E33+E35</f>
        <v>583968827</v>
      </c>
      <c r="F37" s="453">
        <f t="shared" ref="F37:L37" si="3">F27+F29+F31+F33+F35</f>
        <v>93605242</v>
      </c>
      <c r="G37" s="453">
        <f>G27+G29+G31+G33+G35-1</f>
        <v>973058780</v>
      </c>
      <c r="H37" s="453">
        <f t="shared" si="3"/>
        <v>13815</v>
      </c>
      <c r="I37" s="453">
        <f t="shared" si="3"/>
        <v>0</v>
      </c>
      <c r="J37" s="453">
        <f t="shared" si="3"/>
        <v>0</v>
      </c>
      <c r="K37" s="453">
        <f t="shared" si="3"/>
        <v>0</v>
      </c>
      <c r="L37" s="453">
        <f t="shared" si="3"/>
        <v>0</v>
      </c>
      <c r="M37" s="822">
        <f>M27+M29+M31+M33+M35-1</f>
        <v>1650646664</v>
      </c>
      <c r="N37" s="67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</row>
    <row r="38" spans="1:35" ht="23.5" customHeight="1" x14ac:dyDescent="0.3">
      <c r="A38" s="67"/>
      <c r="B38" s="1074" t="s">
        <v>58</v>
      </c>
      <c r="C38" s="1075"/>
      <c r="D38" s="1071" t="s">
        <v>79</v>
      </c>
      <c r="E38" s="619">
        <f>E36+E24+E22+E20</f>
        <v>2426591627</v>
      </c>
      <c r="F38" s="619">
        <f t="shared" ref="F38:M38" si="4">F36+F24+F22+F20</f>
        <v>357828054</v>
      </c>
      <c r="G38" s="619">
        <f t="shared" si="4"/>
        <v>1229675252</v>
      </c>
      <c r="H38" s="619">
        <f t="shared" si="4"/>
        <v>0</v>
      </c>
      <c r="I38" s="619">
        <f t="shared" si="4"/>
        <v>0</v>
      </c>
      <c r="J38" s="619">
        <f t="shared" si="4"/>
        <v>0</v>
      </c>
      <c r="K38" s="619">
        <f t="shared" si="4"/>
        <v>0</v>
      </c>
      <c r="L38" s="619">
        <f t="shared" si="4"/>
        <v>0</v>
      </c>
      <c r="M38" s="619">
        <f t="shared" si="4"/>
        <v>4014094936</v>
      </c>
      <c r="N38" s="67"/>
      <c r="O38" s="394">
        <f>SUM(E38:L38)</f>
        <v>4014094933</v>
      </c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</row>
    <row r="39" spans="1:35" ht="13" x14ac:dyDescent="0.3">
      <c r="A39" s="67"/>
      <c r="B39" s="183" t="s">
        <v>1019</v>
      </c>
      <c r="C39" s="184"/>
      <c r="D39" s="1072"/>
      <c r="E39" s="620">
        <f>E38-E40</f>
        <v>2207371072</v>
      </c>
      <c r="F39" s="620">
        <f>F38-F40-1</f>
        <v>327773887</v>
      </c>
      <c r="G39" s="620">
        <f>G38-G40-1</f>
        <v>973142904</v>
      </c>
      <c r="H39" s="620">
        <f t="shared" ref="H39:M39" si="5">H38-H40</f>
        <v>0</v>
      </c>
      <c r="I39" s="620">
        <f t="shared" si="5"/>
        <v>0</v>
      </c>
      <c r="J39" s="620">
        <f t="shared" si="5"/>
        <v>0</v>
      </c>
      <c r="K39" s="620">
        <f t="shared" si="5"/>
        <v>0</v>
      </c>
      <c r="L39" s="620">
        <f t="shared" si="5"/>
        <v>0</v>
      </c>
      <c r="M39" s="620">
        <f t="shared" si="5"/>
        <v>3508287867</v>
      </c>
      <c r="N39" s="67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</row>
    <row r="40" spans="1:35" ht="13.5" thickBot="1" x14ac:dyDescent="0.35">
      <c r="A40" s="67"/>
      <c r="B40" s="185" t="s">
        <v>1020</v>
      </c>
      <c r="C40" s="186"/>
      <c r="D40" s="1073"/>
      <c r="E40" s="621">
        <f>E24+E26+E32+E34</f>
        <v>219220555</v>
      </c>
      <c r="F40" s="621">
        <f t="shared" ref="F40:M40" si="6">F24+F26+F32+F34</f>
        <v>30054166</v>
      </c>
      <c r="G40" s="621">
        <f t="shared" si="6"/>
        <v>256532347</v>
      </c>
      <c r="H40" s="621">
        <f t="shared" si="6"/>
        <v>0</v>
      </c>
      <c r="I40" s="621">
        <f t="shared" si="6"/>
        <v>0</v>
      </c>
      <c r="J40" s="621">
        <f t="shared" si="6"/>
        <v>0</v>
      </c>
      <c r="K40" s="621">
        <f t="shared" si="6"/>
        <v>0</v>
      </c>
      <c r="L40" s="621">
        <f t="shared" si="6"/>
        <v>0</v>
      </c>
      <c r="M40" s="621">
        <f t="shared" si="6"/>
        <v>505807069</v>
      </c>
      <c r="N40" s="67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</row>
    <row r="41" spans="1:35" ht="24" customHeight="1" x14ac:dyDescent="0.3">
      <c r="A41" s="67"/>
      <c r="B41" s="1074" t="s">
        <v>58</v>
      </c>
      <c r="C41" s="1075"/>
      <c r="D41" s="1076" t="s">
        <v>988</v>
      </c>
      <c r="E41" s="619">
        <f>E21+E23+E25+E37</f>
        <v>2610596109</v>
      </c>
      <c r="F41" s="619">
        <f t="shared" ref="F41:M41" si="7">F21+F23+F25+F37</f>
        <v>381581482</v>
      </c>
      <c r="G41" s="619">
        <f t="shared" si="7"/>
        <v>1238738729</v>
      </c>
      <c r="H41" s="619">
        <f t="shared" si="7"/>
        <v>13815</v>
      </c>
      <c r="I41" s="619">
        <f t="shared" si="7"/>
        <v>0</v>
      </c>
      <c r="J41" s="619">
        <f t="shared" si="7"/>
        <v>0</v>
      </c>
      <c r="K41" s="619">
        <f t="shared" si="7"/>
        <v>0</v>
      </c>
      <c r="L41" s="619">
        <f t="shared" si="7"/>
        <v>0</v>
      </c>
      <c r="M41" s="619">
        <f t="shared" si="7"/>
        <v>4230930135</v>
      </c>
      <c r="N41" s="67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</row>
    <row r="42" spans="1:35" ht="13" x14ac:dyDescent="0.3">
      <c r="A42" s="67"/>
      <c r="B42" s="183" t="s">
        <v>1019</v>
      </c>
      <c r="C42" s="184"/>
      <c r="D42" s="1077"/>
      <c r="E42" s="620">
        <f>E41-E43</f>
        <v>2376737292</v>
      </c>
      <c r="F42" s="620">
        <f t="shared" ref="F42:M42" si="8">F41-F43</f>
        <v>349728038</v>
      </c>
      <c r="G42" s="620">
        <f t="shared" si="8"/>
        <v>985534515</v>
      </c>
      <c r="H42" s="620">
        <f t="shared" si="8"/>
        <v>0</v>
      </c>
      <c r="I42" s="620">
        <f t="shared" si="8"/>
        <v>0</v>
      </c>
      <c r="J42" s="620">
        <f t="shared" si="8"/>
        <v>0</v>
      </c>
      <c r="K42" s="620">
        <f t="shared" si="8"/>
        <v>0</v>
      </c>
      <c r="L42" s="620">
        <f t="shared" si="8"/>
        <v>0</v>
      </c>
      <c r="M42" s="620">
        <f t="shared" si="8"/>
        <v>3711999845</v>
      </c>
      <c r="N42" s="67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</row>
    <row r="43" spans="1:35" ht="13.5" thickBot="1" x14ac:dyDescent="0.35">
      <c r="A43" s="67"/>
      <c r="B43" s="185" t="s">
        <v>1020</v>
      </c>
      <c r="C43" s="186"/>
      <c r="D43" s="1078"/>
      <c r="E43" s="723">
        <f>E25+E27+E33+E35</f>
        <v>233858817</v>
      </c>
      <c r="F43" s="723">
        <f t="shared" ref="F43:M43" si="9">F25+F27+F33+F35</f>
        <v>31853444</v>
      </c>
      <c r="G43" s="723">
        <f t="shared" si="9"/>
        <v>253204214</v>
      </c>
      <c r="H43" s="723">
        <f t="shared" si="9"/>
        <v>13815</v>
      </c>
      <c r="I43" s="723">
        <f t="shared" si="9"/>
        <v>0</v>
      </c>
      <c r="J43" s="723">
        <f t="shared" si="9"/>
        <v>0</v>
      </c>
      <c r="K43" s="723">
        <f t="shared" si="9"/>
        <v>0</v>
      </c>
      <c r="L43" s="723">
        <f t="shared" si="9"/>
        <v>0</v>
      </c>
      <c r="M43" s="723">
        <f t="shared" si="9"/>
        <v>518930290</v>
      </c>
      <c r="N43" s="67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</row>
    <row r="44" spans="1:35" x14ac:dyDescent="0.25">
      <c r="A44" s="67"/>
      <c r="B44" s="33"/>
      <c r="C44" s="33"/>
      <c r="D44" s="62"/>
      <c r="E44" s="63"/>
      <c r="F44" s="63"/>
      <c r="G44" s="63"/>
      <c r="H44" s="63"/>
      <c r="I44" s="63"/>
      <c r="J44" s="63"/>
      <c r="K44" s="63"/>
      <c r="L44" s="63"/>
      <c r="M44" s="63"/>
      <c r="N44" s="67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</row>
    <row r="45" spans="1:35" ht="13" x14ac:dyDescent="0.3">
      <c r="A45" s="67"/>
      <c r="B45" s="3"/>
      <c r="C45" s="8"/>
      <c r="D45" s="8"/>
      <c r="E45" s="8"/>
      <c r="F45" s="8"/>
      <c r="G45" s="8"/>
      <c r="H45" s="8"/>
      <c r="I45" s="8"/>
      <c r="J45" s="8"/>
      <c r="K45" s="8"/>
      <c r="L45" s="8"/>
      <c r="M45" s="3" t="s">
        <v>707</v>
      </c>
      <c r="N45" s="67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</row>
    <row r="46" spans="1:35" x14ac:dyDescent="0.25">
      <c r="A46" s="67"/>
      <c r="B46" s="36"/>
      <c r="C46" s="36"/>
      <c r="D46" s="36"/>
      <c r="E46" s="37"/>
      <c r="F46" s="38"/>
      <c r="G46" s="38"/>
      <c r="H46" s="38"/>
      <c r="I46" s="40"/>
      <c r="J46" s="38"/>
      <c r="K46" s="38"/>
      <c r="L46" s="38"/>
      <c r="M46" s="38"/>
      <c r="N46" s="67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</row>
    <row r="47" spans="1:35" ht="13" x14ac:dyDescent="0.3">
      <c r="A47" s="67"/>
      <c r="B47" s="3" t="s">
        <v>323</v>
      </c>
      <c r="C47" s="8"/>
      <c r="D47" s="8"/>
      <c r="E47" s="8"/>
      <c r="F47" s="8"/>
      <c r="G47" s="8"/>
      <c r="H47" s="275"/>
      <c r="I47" s="8"/>
      <c r="J47" s="8"/>
      <c r="K47" s="275" t="s">
        <v>787</v>
      </c>
      <c r="L47" s="8"/>
      <c r="M47" s="3" t="s">
        <v>691</v>
      </c>
      <c r="N47" s="67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</row>
    <row r="48" spans="1:35" ht="13" thickBot="1" x14ac:dyDescent="0.3">
      <c r="A48" s="6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67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</row>
    <row r="49" spans="1:35" ht="12.75" customHeight="1" x14ac:dyDescent="0.25">
      <c r="A49" s="67"/>
      <c r="B49" s="930" t="s">
        <v>231</v>
      </c>
      <c r="C49" s="931"/>
      <c r="D49" s="932"/>
      <c r="E49" s="924" t="s">
        <v>216</v>
      </c>
      <c r="F49" s="922" t="s">
        <v>217</v>
      </c>
      <c r="G49" s="922" t="s">
        <v>218</v>
      </c>
      <c r="H49" s="922" t="s">
        <v>257</v>
      </c>
      <c r="I49" s="922" t="s">
        <v>287</v>
      </c>
      <c r="J49" s="922" t="s">
        <v>256</v>
      </c>
      <c r="K49" s="922" t="s">
        <v>260</v>
      </c>
      <c r="L49" s="922" t="s">
        <v>370</v>
      </c>
      <c r="M49" s="928" t="s">
        <v>49</v>
      </c>
      <c r="N49" s="67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</row>
    <row r="50" spans="1:35" x14ac:dyDescent="0.25">
      <c r="A50" s="67"/>
      <c r="B50" s="933"/>
      <c r="C50" s="934"/>
      <c r="D50" s="935"/>
      <c r="E50" s="925"/>
      <c r="F50" s="923"/>
      <c r="G50" s="923"/>
      <c r="H50" s="927"/>
      <c r="I50" s="927"/>
      <c r="J50" s="927"/>
      <c r="K50" s="927"/>
      <c r="L50" s="927"/>
      <c r="M50" s="929"/>
      <c r="N50" s="67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</row>
    <row r="51" spans="1:35" ht="76.5" customHeight="1" thickBot="1" x14ac:dyDescent="0.3">
      <c r="A51" s="67"/>
      <c r="B51" s="933"/>
      <c r="C51" s="934"/>
      <c r="D51" s="935"/>
      <c r="E51" s="925"/>
      <c r="F51" s="923"/>
      <c r="G51" s="923"/>
      <c r="H51" s="927"/>
      <c r="I51" s="927"/>
      <c r="J51" s="927"/>
      <c r="K51" s="927"/>
      <c r="L51" s="927"/>
      <c r="M51" s="929"/>
      <c r="N51" s="67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</row>
    <row r="52" spans="1:35" ht="18" customHeight="1" x14ac:dyDescent="0.25">
      <c r="A52" s="67"/>
      <c r="B52" s="1029" t="s">
        <v>285</v>
      </c>
      <c r="C52" s="1030"/>
      <c r="D52" s="1031" t="s">
        <v>79</v>
      </c>
      <c r="E52" s="400">
        <v>0</v>
      </c>
      <c r="F52" s="400">
        <v>0</v>
      </c>
      <c r="G52" s="256">
        <v>0</v>
      </c>
      <c r="H52" s="257">
        <v>0</v>
      </c>
      <c r="I52" s="257">
        <v>0</v>
      </c>
      <c r="J52" s="257">
        <v>0</v>
      </c>
      <c r="K52" s="259">
        <v>0</v>
      </c>
      <c r="L52" s="259">
        <v>0</v>
      </c>
      <c r="M52" s="377">
        <f t="shared" ref="M52:M53" si="10">SUM(E52:L52)</f>
        <v>0</v>
      </c>
      <c r="N52" s="67" t="s">
        <v>157</v>
      </c>
      <c r="Q52" s="8"/>
      <c r="R52" s="8"/>
      <c r="S52" s="8"/>
      <c r="T52" s="8"/>
      <c r="U52" s="8"/>
      <c r="V52" s="8"/>
      <c r="W52" s="306"/>
      <c r="X52" s="306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</row>
    <row r="53" spans="1:35" ht="18" customHeight="1" thickBot="1" x14ac:dyDescent="0.3">
      <c r="A53" s="67"/>
      <c r="B53" s="1039"/>
      <c r="C53" s="1040"/>
      <c r="D53" s="1033"/>
      <c r="E53" s="401">
        <v>0</v>
      </c>
      <c r="F53" s="401">
        <v>0</v>
      </c>
      <c r="G53" s="229">
        <v>0</v>
      </c>
      <c r="H53" s="230">
        <v>0</v>
      </c>
      <c r="I53" s="230">
        <v>0</v>
      </c>
      <c r="J53" s="230">
        <v>0</v>
      </c>
      <c r="K53" s="232">
        <v>0</v>
      </c>
      <c r="L53" s="232">
        <v>0</v>
      </c>
      <c r="M53" s="376">
        <f t="shared" si="10"/>
        <v>0</v>
      </c>
      <c r="N53" s="67" t="s">
        <v>158</v>
      </c>
      <c r="Q53" s="306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</row>
    <row r="54" spans="1:35" ht="18" customHeight="1" x14ac:dyDescent="0.25">
      <c r="A54" s="67"/>
      <c r="B54" s="1029" t="s">
        <v>285</v>
      </c>
      <c r="C54" s="1030"/>
      <c r="D54" s="1031" t="s">
        <v>988</v>
      </c>
      <c r="E54" s="724"/>
      <c r="F54" s="724"/>
      <c r="G54" s="234"/>
      <c r="H54" s="235"/>
      <c r="I54" s="235"/>
      <c r="J54" s="235"/>
      <c r="K54" s="237"/>
      <c r="L54" s="237"/>
      <c r="M54" s="738">
        <v>0</v>
      </c>
      <c r="N54" s="67" t="s">
        <v>157</v>
      </c>
      <c r="Q54" s="306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</row>
    <row r="55" spans="1:35" ht="18" customHeight="1" thickBot="1" x14ac:dyDescent="0.3">
      <c r="A55" s="67"/>
      <c r="B55" s="1039"/>
      <c r="C55" s="1040"/>
      <c r="D55" s="1033"/>
      <c r="E55" s="724"/>
      <c r="F55" s="724"/>
      <c r="G55" s="234"/>
      <c r="H55" s="235"/>
      <c r="I55" s="235"/>
      <c r="J55" s="235"/>
      <c r="K55" s="237"/>
      <c r="L55" s="237"/>
      <c r="M55" s="739">
        <v>0</v>
      </c>
      <c r="N55" s="67" t="s">
        <v>158</v>
      </c>
      <c r="Q55" s="306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</row>
    <row r="56" spans="1:35" ht="12.5" customHeight="1" x14ac:dyDescent="0.25">
      <c r="A56" s="67"/>
      <c r="B56" s="1029" t="s">
        <v>221</v>
      </c>
      <c r="C56" s="1030"/>
      <c r="D56" s="1031" t="s">
        <v>79</v>
      </c>
      <c r="E56" s="227"/>
      <c r="F56" s="227"/>
      <c r="G56" s="256"/>
      <c r="H56" s="257"/>
      <c r="I56" s="258"/>
      <c r="J56" s="257"/>
      <c r="K56" s="259"/>
      <c r="L56" s="259"/>
      <c r="M56" s="211">
        <f t="shared" ref="M56:M65" si="11">SUM(E56:L56)</f>
        <v>0</v>
      </c>
      <c r="N56" s="67" t="s">
        <v>157</v>
      </c>
      <c r="Q56" s="306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</row>
    <row r="57" spans="1:35" ht="13" thickBot="1" x14ac:dyDescent="0.3">
      <c r="A57" s="67"/>
      <c r="B57" s="1039"/>
      <c r="C57" s="1040"/>
      <c r="D57" s="1033"/>
      <c r="E57" s="228"/>
      <c r="F57" s="228"/>
      <c r="G57" s="229"/>
      <c r="H57" s="230"/>
      <c r="I57" s="231">
        <v>102055000</v>
      </c>
      <c r="J57" s="230"/>
      <c r="K57" s="232"/>
      <c r="L57" s="737"/>
      <c r="M57" s="213">
        <f t="shared" si="11"/>
        <v>102055000</v>
      </c>
      <c r="N57" s="67" t="s">
        <v>158</v>
      </c>
      <c r="O57" s="392" t="s">
        <v>751</v>
      </c>
      <c r="Q57" s="306"/>
      <c r="R57" s="8"/>
      <c r="S57" s="8"/>
      <c r="T57" s="8"/>
      <c r="U57" s="8"/>
      <c r="V57" s="8"/>
      <c r="W57" s="306"/>
      <c r="X57" s="306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</row>
    <row r="58" spans="1:35" x14ac:dyDescent="0.25">
      <c r="A58" s="67"/>
      <c r="B58" s="1029" t="s">
        <v>221</v>
      </c>
      <c r="C58" s="1030"/>
      <c r="D58" s="1031" t="s">
        <v>988</v>
      </c>
      <c r="E58" s="233"/>
      <c r="F58" s="233"/>
      <c r="G58" s="234"/>
      <c r="H58" s="235"/>
      <c r="I58" s="236"/>
      <c r="J58" s="235"/>
      <c r="K58" s="237"/>
      <c r="L58" s="237"/>
      <c r="M58" s="211"/>
      <c r="N58" s="67" t="s">
        <v>157</v>
      </c>
      <c r="Q58" s="306"/>
      <c r="R58" s="8"/>
      <c r="S58" s="8"/>
      <c r="T58" s="8"/>
      <c r="U58" s="8"/>
      <c r="V58" s="8"/>
      <c r="W58" s="306"/>
      <c r="X58" s="306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</row>
    <row r="59" spans="1:35" ht="13" thickBot="1" x14ac:dyDescent="0.3">
      <c r="A59" s="67"/>
      <c r="B59" s="1039"/>
      <c r="C59" s="1040"/>
      <c r="D59" s="1033"/>
      <c r="E59" s="233"/>
      <c r="F59" s="233"/>
      <c r="G59" s="234"/>
      <c r="H59" s="235"/>
      <c r="I59" s="236">
        <v>102055000</v>
      </c>
      <c r="J59" s="235"/>
      <c r="K59" s="237"/>
      <c r="L59" s="237"/>
      <c r="M59" s="213">
        <f>SUM(E59:L59)</f>
        <v>102055000</v>
      </c>
      <c r="N59" s="67" t="s">
        <v>158</v>
      </c>
      <c r="Q59" s="306"/>
      <c r="R59" s="8"/>
      <c r="S59" s="8"/>
      <c r="T59" s="8"/>
      <c r="U59" s="8"/>
      <c r="V59" s="8"/>
      <c r="W59" s="306"/>
      <c r="X59" s="306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</row>
    <row r="60" spans="1:35" ht="35.25" customHeight="1" x14ac:dyDescent="0.25">
      <c r="A60" s="67"/>
      <c r="B60" s="1029" t="s">
        <v>439</v>
      </c>
      <c r="C60" s="1030"/>
      <c r="D60" s="1031" t="s">
        <v>79</v>
      </c>
      <c r="E60" s="227">
        <v>0</v>
      </c>
      <c r="F60" s="227">
        <v>0</v>
      </c>
      <c r="G60" s="256">
        <v>13305980</v>
      </c>
      <c r="H60" s="393"/>
      <c r="I60" s="258">
        <v>208180</v>
      </c>
      <c r="J60" s="257"/>
      <c r="K60" s="259"/>
      <c r="L60" s="259"/>
      <c r="M60" s="211">
        <f t="shared" si="11"/>
        <v>13514160</v>
      </c>
      <c r="N60" s="67" t="s">
        <v>157</v>
      </c>
      <c r="Q60" s="306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</row>
    <row r="61" spans="1:35" ht="13" thickBot="1" x14ac:dyDescent="0.3">
      <c r="A61" s="67"/>
      <c r="B61" s="1079" t="s">
        <v>440</v>
      </c>
      <c r="C61" s="1080"/>
      <c r="D61" s="1033"/>
      <c r="E61" s="228">
        <v>0</v>
      </c>
      <c r="F61" s="228">
        <v>0</v>
      </c>
      <c r="G61" s="799">
        <v>1539250551</v>
      </c>
      <c r="H61" s="230"/>
      <c r="I61" s="231">
        <v>500000</v>
      </c>
      <c r="J61" s="230"/>
      <c r="K61" s="232">
        <v>167970855</v>
      </c>
      <c r="L61" s="737"/>
      <c r="M61" s="731">
        <f t="shared" si="11"/>
        <v>1707721406</v>
      </c>
      <c r="N61" s="67" t="s">
        <v>158</v>
      </c>
      <c r="O61" s="394">
        <f>G61+G60</f>
        <v>1552556531</v>
      </c>
      <c r="Q61" s="306"/>
      <c r="R61" s="8"/>
      <c r="S61" s="8"/>
      <c r="T61" s="8"/>
      <c r="U61" s="8"/>
      <c r="V61" s="8"/>
      <c r="W61" s="306"/>
      <c r="X61" s="306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</row>
    <row r="62" spans="1:35" ht="32.5" customHeight="1" x14ac:dyDescent="0.25">
      <c r="A62" s="67"/>
      <c r="B62" s="1029" t="s">
        <v>439</v>
      </c>
      <c r="C62" s="1030"/>
      <c r="D62" s="1031" t="s">
        <v>988</v>
      </c>
      <c r="E62" s="233"/>
      <c r="F62" s="233"/>
      <c r="G62" s="676">
        <f>13305980-850000</f>
        <v>12455980</v>
      </c>
      <c r="H62" s="235"/>
      <c r="I62" s="236">
        <v>208180</v>
      </c>
      <c r="J62" s="235"/>
      <c r="K62" s="237"/>
      <c r="L62" s="237"/>
      <c r="M62" s="213">
        <f>SUM(E62:L62)</f>
        <v>12664160</v>
      </c>
      <c r="N62" s="67" t="s">
        <v>157</v>
      </c>
      <c r="O62" s="394"/>
      <c r="Q62" s="306"/>
      <c r="R62" s="8"/>
      <c r="S62" s="8"/>
      <c r="T62" s="8"/>
      <c r="U62" s="8"/>
      <c r="V62" s="8"/>
      <c r="W62" s="306"/>
      <c r="X62" s="306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</row>
    <row r="63" spans="1:35" ht="13" thickBot="1" x14ac:dyDescent="0.3">
      <c r="A63" s="67"/>
      <c r="B63" s="1079" t="s">
        <v>440</v>
      </c>
      <c r="C63" s="1080"/>
      <c r="D63" s="1033"/>
      <c r="E63" s="734"/>
      <c r="F63" s="734"/>
      <c r="G63" s="685">
        <v>1539250551</v>
      </c>
      <c r="H63" s="735"/>
      <c r="I63" s="736">
        <v>500000</v>
      </c>
      <c r="J63" s="735"/>
      <c r="K63" s="737">
        <f>167970855+6890337-61277500+194856055-308439747</f>
        <v>0</v>
      </c>
      <c r="L63" s="737"/>
      <c r="M63" s="213">
        <f>SUM(E63:L63)</f>
        <v>1539750551</v>
      </c>
      <c r="N63" s="67" t="s">
        <v>158</v>
      </c>
      <c r="O63" s="394"/>
      <c r="Q63" s="306"/>
      <c r="R63" s="8"/>
      <c r="S63" s="8"/>
      <c r="T63" s="8"/>
      <c r="U63" s="8"/>
      <c r="V63" s="8"/>
      <c r="W63" s="306"/>
      <c r="X63" s="306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ht="35.25" customHeight="1" x14ac:dyDescent="0.25">
      <c r="A64" s="67"/>
      <c r="B64" s="1029" t="s">
        <v>436</v>
      </c>
      <c r="C64" s="1030"/>
      <c r="D64" s="1031" t="s">
        <v>79</v>
      </c>
      <c r="E64" s="235">
        <v>0</v>
      </c>
      <c r="F64" s="235">
        <v>0</v>
      </c>
      <c r="G64" s="234">
        <v>0</v>
      </c>
      <c r="H64" s="235">
        <v>0</v>
      </c>
      <c r="I64" s="236"/>
      <c r="J64" s="235"/>
      <c r="K64" s="237"/>
      <c r="L64" s="237"/>
      <c r="M64" s="211">
        <f t="shared" si="11"/>
        <v>0</v>
      </c>
      <c r="N64" s="67" t="s">
        <v>157</v>
      </c>
      <c r="O64" s="394"/>
      <c r="Q64" s="306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</row>
    <row r="65" spans="1:35" ht="13.5" customHeight="1" thickBot="1" x14ac:dyDescent="0.3">
      <c r="A65" s="67"/>
      <c r="B65" s="1039" t="s">
        <v>437</v>
      </c>
      <c r="C65" s="1040"/>
      <c r="D65" s="1033"/>
      <c r="E65" s="233"/>
      <c r="F65" s="233"/>
      <c r="G65" s="234">
        <v>0</v>
      </c>
      <c r="H65" s="235"/>
      <c r="I65" s="236"/>
      <c r="J65" s="235"/>
      <c r="K65" s="237"/>
      <c r="L65" s="237"/>
      <c r="M65" s="213">
        <f t="shared" si="11"/>
        <v>0</v>
      </c>
      <c r="N65" s="67" t="s">
        <v>158</v>
      </c>
      <c r="O65" s="394">
        <f>M64+M65</f>
        <v>0</v>
      </c>
      <c r="Q65" s="306"/>
      <c r="R65" s="8"/>
      <c r="S65" s="8"/>
      <c r="T65" s="8"/>
      <c r="U65" s="8"/>
      <c r="V65" s="8"/>
      <c r="W65" s="306"/>
      <c r="X65" s="87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35" ht="32" customHeight="1" x14ac:dyDescent="0.25">
      <c r="A66" s="67"/>
      <c r="B66" s="1029" t="s">
        <v>436</v>
      </c>
      <c r="C66" s="1030"/>
      <c r="D66" s="1031" t="s">
        <v>988</v>
      </c>
      <c r="E66" s="227"/>
      <c r="F66" s="227"/>
      <c r="G66" s="256"/>
      <c r="H66" s="257"/>
      <c r="I66" s="258"/>
      <c r="J66" s="257"/>
      <c r="K66" s="259"/>
      <c r="L66" s="259"/>
      <c r="M66" s="211"/>
      <c r="N66" s="67" t="s">
        <v>157</v>
      </c>
      <c r="O66" s="394"/>
      <c r="Q66" s="306"/>
      <c r="R66" s="8"/>
      <c r="S66" s="8"/>
      <c r="T66" s="8"/>
      <c r="U66" s="8"/>
      <c r="V66" s="8"/>
      <c r="W66" s="306"/>
      <c r="X66" s="87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35" ht="13.5" customHeight="1" thickBot="1" x14ac:dyDescent="0.3">
      <c r="A67" s="67"/>
      <c r="B67" s="1039" t="s">
        <v>437</v>
      </c>
      <c r="C67" s="1040"/>
      <c r="D67" s="1033"/>
      <c r="E67" s="734"/>
      <c r="F67" s="734"/>
      <c r="G67" s="740">
        <v>20000000</v>
      </c>
      <c r="H67" s="735"/>
      <c r="I67" s="736"/>
      <c r="J67" s="735"/>
      <c r="K67" s="737"/>
      <c r="L67" s="737"/>
      <c r="M67" s="731">
        <f>SUM(E67:L67)</f>
        <v>20000000</v>
      </c>
      <c r="N67" s="67" t="s">
        <v>158</v>
      </c>
      <c r="O67" s="394"/>
      <c r="Q67" s="306"/>
      <c r="R67" s="8"/>
      <c r="S67" s="8"/>
      <c r="T67" s="8"/>
      <c r="U67" s="8"/>
      <c r="V67" s="8"/>
      <c r="W67" s="306"/>
      <c r="X67" s="87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35" ht="27" customHeight="1" x14ac:dyDescent="0.25">
      <c r="A68" s="67"/>
      <c r="B68" s="1029" t="s">
        <v>501</v>
      </c>
      <c r="C68" s="1030"/>
      <c r="D68" s="1031" t="s">
        <v>79</v>
      </c>
      <c r="E68" s="227"/>
      <c r="F68" s="227"/>
      <c r="G68" s="256"/>
      <c r="H68" s="257"/>
      <c r="I68" s="258"/>
      <c r="J68" s="257"/>
      <c r="K68" s="259"/>
      <c r="L68" s="259"/>
      <c r="M68" s="211"/>
      <c r="N68" s="67" t="s">
        <v>157</v>
      </c>
      <c r="O68" s="394"/>
      <c r="Q68" s="306"/>
      <c r="R68" s="8"/>
      <c r="S68" s="8"/>
      <c r="T68" s="8"/>
      <c r="U68" s="8"/>
      <c r="V68" s="8"/>
      <c r="W68" s="306"/>
      <c r="X68" s="87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</row>
    <row r="69" spans="1:35" ht="13.5" customHeight="1" thickBot="1" x14ac:dyDescent="0.3">
      <c r="A69" s="67"/>
      <c r="B69" s="1041" t="s">
        <v>375</v>
      </c>
      <c r="C69" s="1042"/>
      <c r="D69" s="1033"/>
      <c r="E69" s="233">
        <v>0</v>
      </c>
      <c r="F69" s="233">
        <v>0</v>
      </c>
      <c r="G69" s="676">
        <v>240400000</v>
      </c>
      <c r="H69" s="235">
        <v>0</v>
      </c>
      <c r="I69" s="236">
        <v>0</v>
      </c>
      <c r="J69" s="235">
        <v>0</v>
      </c>
      <c r="K69" s="237">
        <v>0</v>
      </c>
      <c r="L69" s="237">
        <v>0</v>
      </c>
      <c r="M69" s="213">
        <f>SUM(E69:L69)</f>
        <v>240400000</v>
      </c>
      <c r="N69" s="67" t="s">
        <v>158</v>
      </c>
      <c r="O69" s="394">
        <f>O61+M69</f>
        <v>1792956531</v>
      </c>
      <c r="Q69" s="306"/>
      <c r="R69" s="8"/>
      <c r="S69" s="8"/>
      <c r="T69" s="8"/>
      <c r="U69" s="8"/>
      <c r="V69" s="8"/>
      <c r="W69" s="306"/>
      <c r="X69" s="87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</row>
    <row r="70" spans="1:35" ht="25.5" customHeight="1" x14ac:dyDescent="0.25">
      <c r="A70" s="67"/>
      <c r="B70" s="1029" t="s">
        <v>501</v>
      </c>
      <c r="C70" s="1030"/>
      <c r="D70" s="1031" t="s">
        <v>988</v>
      </c>
      <c r="E70" s="227"/>
      <c r="F70" s="227"/>
      <c r="G70" s="741"/>
      <c r="H70" s="257"/>
      <c r="I70" s="258"/>
      <c r="J70" s="257"/>
      <c r="K70" s="259"/>
      <c r="L70" s="259"/>
      <c r="M70" s="211"/>
      <c r="N70" s="67" t="s">
        <v>157</v>
      </c>
      <c r="O70" s="394"/>
      <c r="Q70" s="306"/>
      <c r="R70" s="8"/>
      <c r="S70" s="8"/>
      <c r="T70" s="8"/>
      <c r="U70" s="8"/>
      <c r="V70" s="8"/>
      <c r="W70" s="306"/>
      <c r="X70" s="87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</row>
    <row r="71" spans="1:35" ht="13.5" customHeight="1" thickBot="1" x14ac:dyDescent="0.3">
      <c r="A71" s="67"/>
      <c r="B71" s="1041" t="s">
        <v>375</v>
      </c>
      <c r="C71" s="1042"/>
      <c r="D71" s="1033"/>
      <c r="E71" s="233"/>
      <c r="F71" s="233"/>
      <c r="G71" s="676">
        <v>240400000</v>
      </c>
      <c r="H71" s="235"/>
      <c r="I71" s="236"/>
      <c r="J71" s="235"/>
      <c r="K71" s="237"/>
      <c r="L71" s="237"/>
      <c r="M71" s="213">
        <f>SUM(E71:L71)</f>
        <v>240400000</v>
      </c>
      <c r="N71" s="67" t="s">
        <v>158</v>
      </c>
      <c r="O71" s="394"/>
      <c r="Q71" s="306"/>
      <c r="R71" s="8"/>
      <c r="S71" s="8"/>
      <c r="T71" s="8"/>
      <c r="U71" s="8"/>
      <c r="V71" s="8"/>
      <c r="W71" s="306"/>
      <c r="X71" s="87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</row>
    <row r="72" spans="1:35" ht="13.5" customHeight="1" x14ac:dyDescent="0.25">
      <c r="A72" s="67"/>
      <c r="B72" s="1029" t="s">
        <v>308</v>
      </c>
      <c r="C72" s="1030"/>
      <c r="D72" s="1031" t="s">
        <v>79</v>
      </c>
      <c r="E72" s="227"/>
      <c r="F72" s="227"/>
      <c r="G72" s="256"/>
      <c r="H72" s="257"/>
      <c r="I72" s="258"/>
      <c r="J72" s="257"/>
      <c r="K72" s="259"/>
      <c r="L72" s="259"/>
      <c r="M72" s="211"/>
      <c r="N72" s="67"/>
      <c r="O72" s="394"/>
      <c r="Q72" s="306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35" ht="13.5" customHeight="1" x14ac:dyDescent="0.25">
      <c r="A73" s="67"/>
      <c r="B73" s="1034" t="s">
        <v>307</v>
      </c>
      <c r="C73" s="1035"/>
      <c r="D73" s="1032"/>
      <c r="E73" s="235">
        <v>3000000</v>
      </c>
      <c r="F73" s="235">
        <v>389983</v>
      </c>
      <c r="G73" s="234">
        <v>217406866</v>
      </c>
      <c r="H73" s="235">
        <v>3185000</v>
      </c>
      <c r="I73" s="236"/>
      <c r="J73" s="235"/>
      <c r="K73" s="237">
        <v>4000000</v>
      </c>
      <c r="L73" s="237"/>
      <c r="M73" s="213">
        <f>SUM(E73:L73)</f>
        <v>227981849</v>
      </c>
      <c r="N73" s="67" t="s">
        <v>157</v>
      </c>
      <c r="O73" s="394" t="s">
        <v>751</v>
      </c>
      <c r="Q73" s="306"/>
      <c r="R73" s="8"/>
      <c r="S73" s="8"/>
      <c r="T73" s="8"/>
      <c r="U73" s="8"/>
      <c r="V73" s="8"/>
      <c r="W73" s="306"/>
      <c r="X73" s="306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</row>
    <row r="74" spans="1:35" ht="13.5" customHeight="1" thickBot="1" x14ac:dyDescent="0.3">
      <c r="A74" s="67"/>
      <c r="B74" s="281"/>
      <c r="C74" s="283"/>
      <c r="D74" s="1033"/>
      <c r="E74" s="228"/>
      <c r="F74" s="228"/>
      <c r="G74" s="229"/>
      <c r="H74" s="230"/>
      <c r="I74" s="231"/>
      <c r="J74" s="230"/>
      <c r="K74" s="232"/>
      <c r="L74" s="232"/>
      <c r="M74" s="213">
        <f>SUM(E74:L74)</f>
        <v>0</v>
      </c>
      <c r="N74" s="67" t="s">
        <v>158</v>
      </c>
      <c r="O74" s="394"/>
      <c r="Q74" s="306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</row>
    <row r="75" spans="1:35" ht="13.5" customHeight="1" x14ac:dyDescent="0.25">
      <c r="A75" s="67"/>
      <c r="B75" s="1029" t="s">
        <v>308</v>
      </c>
      <c r="C75" s="1030"/>
      <c r="D75" s="1031" t="s">
        <v>988</v>
      </c>
      <c r="E75" s="823">
        <v>3000000</v>
      </c>
      <c r="F75" s="823">
        <v>389983</v>
      </c>
      <c r="G75" s="234">
        <v>217406866</v>
      </c>
      <c r="H75" s="235">
        <v>3185000</v>
      </c>
      <c r="I75" s="236"/>
      <c r="J75" s="235"/>
      <c r="K75" s="237">
        <v>4000000</v>
      </c>
      <c r="L75" s="237"/>
      <c r="M75" s="211">
        <f>SUM(E75:L75)</f>
        <v>227981849</v>
      </c>
      <c r="N75" s="67" t="s">
        <v>157</v>
      </c>
      <c r="O75" s="394"/>
      <c r="Q75" s="306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</row>
    <row r="76" spans="1:35" ht="13.5" customHeight="1" thickBot="1" x14ac:dyDescent="0.3">
      <c r="A76" s="67"/>
      <c r="B76" s="1034" t="s">
        <v>307</v>
      </c>
      <c r="C76" s="1035"/>
      <c r="D76" s="1033"/>
      <c r="E76" s="233"/>
      <c r="F76" s="233"/>
      <c r="G76" s="234"/>
      <c r="H76" s="235"/>
      <c r="I76" s="236"/>
      <c r="J76" s="235"/>
      <c r="K76" s="237"/>
      <c r="L76" s="237"/>
      <c r="M76" s="213"/>
      <c r="N76" s="67" t="s">
        <v>158</v>
      </c>
      <c r="O76" s="394"/>
      <c r="Q76" s="306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</row>
    <row r="77" spans="1:35" ht="31" customHeight="1" x14ac:dyDescent="0.25">
      <c r="A77" s="67"/>
      <c r="B77" s="959" t="s">
        <v>1142</v>
      </c>
      <c r="C77" s="960"/>
      <c r="D77" s="1022" t="s">
        <v>79</v>
      </c>
      <c r="E77" s="216"/>
      <c r="F77" s="216"/>
      <c r="G77" s="216"/>
      <c r="H77" s="211"/>
      <c r="I77" s="216"/>
      <c r="J77" s="211"/>
      <c r="K77" s="214"/>
      <c r="L77" s="214"/>
      <c r="M77" s="211">
        <v>0</v>
      </c>
      <c r="N77" s="67"/>
      <c r="Q77" s="306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</row>
    <row r="78" spans="1:35" x14ac:dyDescent="0.25">
      <c r="A78" s="67"/>
      <c r="B78" s="1037" t="s">
        <v>1022</v>
      </c>
      <c r="C78" s="1038"/>
      <c r="D78" s="1036"/>
      <c r="E78" s="217">
        <v>23458446</v>
      </c>
      <c r="F78" s="217">
        <v>7233984</v>
      </c>
      <c r="G78" s="217">
        <v>19420480</v>
      </c>
      <c r="H78" s="213"/>
      <c r="I78" s="217">
        <v>0</v>
      </c>
      <c r="J78" s="213"/>
      <c r="K78" s="215"/>
      <c r="L78" s="215"/>
      <c r="M78" s="213">
        <f>E78+F78+G78+H78+I78+J78</f>
        <v>50112910</v>
      </c>
      <c r="N78" s="67" t="s">
        <v>157</v>
      </c>
      <c r="O78" s="394" t="s">
        <v>751</v>
      </c>
      <c r="Q78" s="306"/>
      <c r="R78" s="8"/>
      <c r="S78" s="8"/>
      <c r="T78" s="8"/>
      <c r="U78" s="8"/>
      <c r="V78" s="8"/>
      <c r="W78" s="306"/>
      <c r="X78" s="306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</row>
    <row r="79" spans="1:35" ht="13" thickBot="1" x14ac:dyDescent="0.3">
      <c r="A79" s="67"/>
      <c r="B79" s="406"/>
      <c r="C79" s="35"/>
      <c r="D79" s="1023"/>
      <c r="E79" s="217"/>
      <c r="F79" s="217"/>
      <c r="G79" s="217"/>
      <c r="H79" s="213"/>
      <c r="I79" s="217"/>
      <c r="J79" s="213"/>
      <c r="K79" s="215"/>
      <c r="L79" s="215"/>
      <c r="M79" s="213">
        <f>E79+F79+G79+H79+I79+J79</f>
        <v>0</v>
      </c>
      <c r="N79" s="67" t="s">
        <v>158</v>
      </c>
      <c r="O79" s="394"/>
      <c r="Q79" s="306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</row>
    <row r="80" spans="1:35" ht="30" customHeight="1" x14ac:dyDescent="0.25">
      <c r="A80" s="67"/>
      <c r="B80" s="959" t="s">
        <v>1142</v>
      </c>
      <c r="C80" s="960"/>
      <c r="D80" s="998" t="s">
        <v>988</v>
      </c>
      <c r="E80" s="216">
        <f>23458446-270000+759054-200000</f>
        <v>23747500</v>
      </c>
      <c r="F80" s="216">
        <f>7233984-6000</f>
        <v>7227984</v>
      </c>
      <c r="G80" s="216">
        <f>19420480+270000+6000-759054</f>
        <v>18937426</v>
      </c>
      <c r="H80" s="211"/>
      <c r="I80" s="216"/>
      <c r="J80" s="211"/>
      <c r="K80" s="214"/>
      <c r="L80" s="214"/>
      <c r="M80" s="211">
        <f>SUM(E80:L80)</f>
        <v>49912910</v>
      </c>
      <c r="N80" s="67" t="s">
        <v>157</v>
      </c>
      <c r="O80" s="394"/>
      <c r="Q80" s="306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</row>
    <row r="81" spans="1:35" ht="13" thickBot="1" x14ac:dyDescent="0.3">
      <c r="A81" s="67"/>
      <c r="B81" s="1037" t="s">
        <v>1022</v>
      </c>
      <c r="C81" s="1038"/>
      <c r="D81" s="999"/>
      <c r="E81" s="217"/>
      <c r="F81" s="217"/>
      <c r="G81" s="217"/>
      <c r="H81" s="213"/>
      <c r="I81" s="217"/>
      <c r="J81" s="213"/>
      <c r="K81" s="215"/>
      <c r="L81" s="215"/>
      <c r="M81" s="731">
        <f>SUM(E81:L81)</f>
        <v>0</v>
      </c>
      <c r="N81" s="67" t="s">
        <v>158</v>
      </c>
      <c r="O81" s="394"/>
      <c r="Q81" s="306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</row>
    <row r="82" spans="1:35" x14ac:dyDescent="0.25">
      <c r="A82" s="67"/>
      <c r="B82" s="1007" t="s">
        <v>1023</v>
      </c>
      <c r="C82" s="1008"/>
      <c r="D82" s="998" t="s">
        <v>79</v>
      </c>
      <c r="E82" s="216">
        <v>1000000</v>
      </c>
      <c r="F82" s="216">
        <v>419608</v>
      </c>
      <c r="G82" s="216"/>
      <c r="H82" s="216"/>
      <c r="I82" s="216"/>
      <c r="J82" s="211"/>
      <c r="K82" s="214"/>
      <c r="L82" s="214"/>
      <c r="M82" s="211">
        <f>SUM(E82:L82)</f>
        <v>1419608</v>
      </c>
      <c r="N82" s="67" t="s">
        <v>157</v>
      </c>
      <c r="O82" s="392" t="s">
        <v>751</v>
      </c>
      <c r="Q82" s="306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</row>
    <row r="83" spans="1:35" ht="13" thickBot="1" x14ac:dyDescent="0.3">
      <c r="A83" s="67"/>
      <c r="B83" s="1011" t="s">
        <v>374</v>
      </c>
      <c r="C83" s="1012"/>
      <c r="D83" s="999"/>
      <c r="E83" s="219"/>
      <c r="F83" s="219"/>
      <c r="G83" s="219">
        <v>126755931</v>
      </c>
      <c r="H83" s="219"/>
      <c r="I83" s="219"/>
      <c r="J83" s="226"/>
      <c r="K83" s="238"/>
      <c r="L83" s="238"/>
      <c r="M83" s="226">
        <f>E83+F83+G83+H83+I83+J83</f>
        <v>126755931</v>
      </c>
      <c r="N83" s="67" t="s">
        <v>158</v>
      </c>
      <c r="O83" s="394">
        <f>M83+M82</f>
        <v>128175539</v>
      </c>
      <c r="Q83" s="306"/>
      <c r="R83" s="8"/>
      <c r="S83" s="8"/>
      <c r="T83" s="8"/>
      <c r="U83" s="8"/>
      <c r="V83" s="8"/>
      <c r="W83" s="306"/>
      <c r="X83" s="87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</row>
    <row r="84" spans="1:35" x14ac:dyDescent="0.25">
      <c r="A84" s="67"/>
      <c r="B84" s="1007" t="s">
        <v>1023</v>
      </c>
      <c r="C84" s="1008"/>
      <c r="D84" s="998" t="s">
        <v>988</v>
      </c>
      <c r="E84" s="217">
        <v>1000000</v>
      </c>
      <c r="F84" s="217">
        <v>419608</v>
      </c>
      <c r="G84" s="217"/>
      <c r="H84" s="217"/>
      <c r="I84" s="217"/>
      <c r="J84" s="213"/>
      <c r="K84" s="215"/>
      <c r="L84" s="215"/>
      <c r="M84" s="213">
        <f t="shared" ref="M84:M92" si="12">SUM(E84:L84)</f>
        <v>1419608</v>
      </c>
      <c r="N84" s="67" t="s">
        <v>157</v>
      </c>
      <c r="O84" s="394"/>
      <c r="Q84" s="306"/>
      <c r="R84" s="8"/>
      <c r="S84" s="8"/>
      <c r="T84" s="8"/>
      <c r="U84" s="8"/>
      <c r="V84" s="8"/>
      <c r="W84" s="306"/>
      <c r="X84" s="87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</row>
    <row r="85" spans="1:35" ht="13" thickBot="1" x14ac:dyDescent="0.3">
      <c r="A85" s="67"/>
      <c r="B85" s="1011" t="s">
        <v>374</v>
      </c>
      <c r="C85" s="1012"/>
      <c r="D85" s="999"/>
      <c r="E85" s="217"/>
      <c r="F85" s="217"/>
      <c r="G85" s="217">
        <f>126755931+2787650+9597390+6350000</f>
        <v>145490971</v>
      </c>
      <c r="H85" s="217"/>
      <c r="I85" s="217"/>
      <c r="J85" s="213"/>
      <c r="K85" s="215"/>
      <c r="L85" s="215"/>
      <c r="M85" s="213">
        <f t="shared" si="12"/>
        <v>145490971</v>
      </c>
      <c r="N85" s="67" t="s">
        <v>158</v>
      </c>
      <c r="O85" s="394"/>
      <c r="Q85" s="306"/>
      <c r="R85" s="8"/>
      <c r="S85" s="8"/>
      <c r="T85" s="8"/>
      <c r="U85" s="8"/>
      <c r="V85" s="8"/>
      <c r="W85" s="306"/>
      <c r="X85" s="87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</row>
    <row r="86" spans="1:35" ht="30" customHeight="1" x14ac:dyDescent="0.25">
      <c r="A86" s="67"/>
      <c r="B86" s="959" t="s">
        <v>504</v>
      </c>
      <c r="C86" s="960"/>
      <c r="D86" s="998" t="s">
        <v>79</v>
      </c>
      <c r="E86" s="211"/>
      <c r="F86" s="211"/>
      <c r="G86" s="211">
        <v>1713792</v>
      </c>
      <c r="H86" s="216"/>
      <c r="I86" s="216">
        <v>32040095</v>
      </c>
      <c r="J86" s="211"/>
      <c r="K86" s="214"/>
      <c r="L86" s="211"/>
      <c r="M86" s="211">
        <f t="shared" si="12"/>
        <v>33753887</v>
      </c>
      <c r="N86" s="67" t="s">
        <v>157</v>
      </c>
      <c r="Q86" s="306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</row>
    <row r="87" spans="1:35" ht="13" thickBot="1" x14ac:dyDescent="0.3">
      <c r="A87" s="67"/>
      <c r="B87" s="1011" t="s">
        <v>505</v>
      </c>
      <c r="C87" s="1013"/>
      <c r="D87" s="999"/>
      <c r="E87" s="226">
        <v>82813253</v>
      </c>
      <c r="F87" s="226">
        <v>11273480</v>
      </c>
      <c r="G87" s="226">
        <v>40139953</v>
      </c>
      <c r="H87" s="219">
        <v>0</v>
      </c>
      <c r="I87" s="219"/>
      <c r="J87" s="226"/>
      <c r="K87" s="238">
        <v>50000000</v>
      </c>
      <c r="L87" s="226"/>
      <c r="M87" s="226">
        <f t="shared" si="12"/>
        <v>184226686</v>
      </c>
      <c r="N87" s="67" t="s">
        <v>158</v>
      </c>
      <c r="O87" s="394">
        <f>M87+M86</f>
        <v>217980573</v>
      </c>
      <c r="P87" s="390" t="s">
        <v>751</v>
      </c>
      <c r="Q87" s="306"/>
      <c r="R87" s="288"/>
      <c r="S87" s="288"/>
      <c r="T87" s="288"/>
      <c r="U87" s="288"/>
      <c r="V87" s="288"/>
      <c r="W87" s="288"/>
      <c r="X87" s="87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</row>
    <row r="88" spans="1:35" ht="33.5" customHeight="1" x14ac:dyDescent="0.25">
      <c r="A88" s="67"/>
      <c r="B88" s="959" t="s">
        <v>504</v>
      </c>
      <c r="C88" s="960"/>
      <c r="D88" s="998" t="s">
        <v>988</v>
      </c>
      <c r="E88" s="213"/>
      <c r="F88" s="213"/>
      <c r="G88" s="213">
        <v>1713792</v>
      </c>
      <c r="H88" s="217"/>
      <c r="I88" s="217">
        <f>32040095-601950</f>
        <v>31438145</v>
      </c>
      <c r="J88" s="213"/>
      <c r="K88" s="215"/>
      <c r="L88" s="213"/>
      <c r="M88" s="213">
        <f t="shared" si="12"/>
        <v>33151937</v>
      </c>
      <c r="N88" s="67" t="s">
        <v>157</v>
      </c>
      <c r="O88" s="394"/>
      <c r="Q88" s="306"/>
      <c r="R88" s="288"/>
      <c r="S88" s="288"/>
      <c r="T88" s="288"/>
      <c r="U88" s="288"/>
      <c r="V88" s="288"/>
      <c r="W88" s="288"/>
      <c r="X88" s="87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</row>
    <row r="89" spans="1:35" ht="13" thickBot="1" x14ac:dyDescent="0.3">
      <c r="A89" s="67"/>
      <c r="B89" s="1011" t="s">
        <v>505</v>
      </c>
      <c r="C89" s="1013"/>
      <c r="D89" s="999"/>
      <c r="E89" s="213">
        <f>82813253+1199150</f>
        <v>84012403</v>
      </c>
      <c r="F89" s="213">
        <f>11273480+155890</f>
        <v>11429370</v>
      </c>
      <c r="G89" s="213">
        <v>40139953</v>
      </c>
      <c r="H89" s="217"/>
      <c r="I89" s="217"/>
      <c r="J89" s="213"/>
      <c r="K89" s="215">
        <f>50000000+4198471+511212+1160690+15877102-15877102-20000000</f>
        <v>35870373</v>
      </c>
      <c r="L89" s="213"/>
      <c r="M89" s="213">
        <f t="shared" si="12"/>
        <v>171452099</v>
      </c>
      <c r="N89" s="67" t="s">
        <v>158</v>
      </c>
      <c r="O89" s="394"/>
      <c r="Q89" s="306"/>
      <c r="R89" s="288"/>
      <c r="S89" s="288"/>
      <c r="T89" s="288"/>
      <c r="U89" s="288"/>
      <c r="V89" s="288"/>
      <c r="W89" s="288"/>
      <c r="X89" s="87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</row>
    <row r="90" spans="1:35" ht="35.5" customHeight="1" x14ac:dyDescent="0.25">
      <c r="A90" s="67"/>
      <c r="B90" s="959" t="s">
        <v>502</v>
      </c>
      <c r="C90" s="960"/>
      <c r="D90" s="998" t="s">
        <v>79</v>
      </c>
      <c r="E90" s="211"/>
      <c r="F90" s="211"/>
      <c r="G90" s="211">
        <v>3851366</v>
      </c>
      <c r="H90" s="216"/>
      <c r="I90" s="216"/>
      <c r="J90" s="211"/>
      <c r="K90" s="214"/>
      <c r="L90" s="211"/>
      <c r="M90" s="211">
        <f t="shared" si="12"/>
        <v>3851366</v>
      </c>
      <c r="N90" s="67" t="s">
        <v>157</v>
      </c>
      <c r="O90" s="394" t="s">
        <v>751</v>
      </c>
      <c r="Q90" s="306"/>
      <c r="R90" s="288"/>
      <c r="S90" s="288"/>
      <c r="T90" s="288"/>
      <c r="U90" s="288"/>
      <c r="V90" s="288"/>
      <c r="W90" s="288"/>
      <c r="X90" s="87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</row>
    <row r="91" spans="1:35" ht="13" thickBot="1" x14ac:dyDescent="0.3">
      <c r="A91" s="67"/>
      <c r="B91" s="1000" t="s">
        <v>503</v>
      </c>
      <c r="C91" s="1001"/>
      <c r="D91" s="999"/>
      <c r="E91" s="213"/>
      <c r="F91" s="213"/>
      <c r="G91" s="213"/>
      <c r="H91" s="217"/>
      <c r="I91" s="217"/>
      <c r="J91" s="213"/>
      <c r="K91" s="215"/>
      <c r="L91" s="213"/>
      <c r="M91" s="226">
        <f t="shared" si="12"/>
        <v>0</v>
      </c>
      <c r="N91" s="67" t="s">
        <v>158</v>
      </c>
      <c r="O91" s="394"/>
      <c r="Q91" s="306"/>
      <c r="R91" s="288"/>
      <c r="S91" s="288"/>
      <c r="T91" s="288"/>
      <c r="U91" s="288"/>
      <c r="V91" s="288"/>
      <c r="W91" s="288"/>
      <c r="X91" s="87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</row>
    <row r="92" spans="1:35" ht="32.5" customHeight="1" x14ac:dyDescent="0.25">
      <c r="A92" s="67"/>
      <c r="B92" s="959" t="s">
        <v>502</v>
      </c>
      <c r="C92" s="960"/>
      <c r="D92" s="998" t="s">
        <v>988</v>
      </c>
      <c r="E92" s="211"/>
      <c r="F92" s="211"/>
      <c r="G92" s="211">
        <v>3851366</v>
      </c>
      <c r="H92" s="216"/>
      <c r="I92" s="216"/>
      <c r="J92" s="211"/>
      <c r="K92" s="214"/>
      <c r="L92" s="211"/>
      <c r="M92" s="213">
        <f t="shared" si="12"/>
        <v>3851366</v>
      </c>
      <c r="N92" s="67" t="s">
        <v>157</v>
      </c>
      <c r="O92" s="394"/>
      <c r="Q92" s="306"/>
      <c r="R92" s="288"/>
      <c r="S92" s="288"/>
      <c r="T92" s="288"/>
      <c r="U92" s="288"/>
      <c r="V92" s="288"/>
      <c r="W92" s="288"/>
      <c r="X92" s="87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</row>
    <row r="93" spans="1:35" ht="13" thickBot="1" x14ac:dyDescent="0.3">
      <c r="A93" s="67"/>
      <c r="B93" s="1000" t="s">
        <v>503</v>
      </c>
      <c r="C93" s="1001"/>
      <c r="D93" s="999"/>
      <c r="E93" s="731"/>
      <c r="F93" s="731"/>
      <c r="G93" s="731"/>
      <c r="H93" s="742"/>
      <c r="I93" s="742"/>
      <c r="J93" s="731"/>
      <c r="K93" s="743"/>
      <c r="L93" s="731"/>
      <c r="M93" s="213"/>
      <c r="N93" s="67" t="s">
        <v>158</v>
      </c>
      <c r="O93" s="394"/>
      <c r="Q93" s="306"/>
      <c r="R93" s="288"/>
      <c r="S93" s="288"/>
      <c r="T93" s="288"/>
      <c r="U93" s="288"/>
      <c r="V93" s="288"/>
      <c r="W93" s="288"/>
      <c r="X93" s="87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</row>
    <row r="94" spans="1:35" ht="12.5" customHeight="1" x14ac:dyDescent="0.25">
      <c r="A94" s="67"/>
      <c r="B94" s="1020" t="s">
        <v>749</v>
      </c>
      <c r="C94" s="1021"/>
      <c r="D94" s="1026" t="s">
        <v>79</v>
      </c>
      <c r="E94" s="211"/>
      <c r="F94" s="211"/>
      <c r="G94" s="211"/>
      <c r="H94" s="216"/>
      <c r="I94" s="216"/>
      <c r="J94" s="211"/>
      <c r="K94" s="214"/>
      <c r="L94" s="211"/>
      <c r="M94" s="211"/>
      <c r="N94" s="67"/>
      <c r="O94" s="394"/>
      <c r="Q94" s="306"/>
      <c r="R94" s="288"/>
      <c r="S94" s="288"/>
      <c r="T94" s="288"/>
      <c r="U94" s="288"/>
      <c r="V94" s="288"/>
      <c r="W94" s="288"/>
      <c r="X94" s="87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</row>
    <row r="95" spans="1:35" ht="20.5" customHeight="1" x14ac:dyDescent="0.25">
      <c r="A95" s="67"/>
      <c r="B95" s="1024"/>
      <c r="C95" s="1025"/>
      <c r="D95" s="1027"/>
      <c r="E95" s="213">
        <v>200000</v>
      </c>
      <c r="F95" s="213">
        <v>23400</v>
      </c>
      <c r="G95" s="213">
        <v>952136</v>
      </c>
      <c r="H95" s="217"/>
      <c r="I95" s="217"/>
      <c r="J95" s="213"/>
      <c r="K95" s="215"/>
      <c r="L95" s="213"/>
      <c r="M95" s="213">
        <f>SUM(E95:L95)</f>
        <v>1175536</v>
      </c>
      <c r="N95" s="67" t="s">
        <v>157</v>
      </c>
      <c r="O95" s="394" t="s">
        <v>751</v>
      </c>
      <c r="Q95" s="306"/>
      <c r="R95" s="288"/>
      <c r="S95" s="288"/>
      <c r="T95" s="288"/>
      <c r="U95" s="288"/>
      <c r="V95" s="288"/>
      <c r="W95" s="288"/>
      <c r="X95" s="87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</row>
    <row r="96" spans="1:35" ht="13" thickBot="1" x14ac:dyDescent="0.3">
      <c r="A96" s="67"/>
      <c r="B96" s="1011" t="s">
        <v>750</v>
      </c>
      <c r="C96" s="1013"/>
      <c r="D96" s="1028"/>
      <c r="E96" s="226"/>
      <c r="F96" s="226"/>
      <c r="G96" s="226"/>
      <c r="H96" s="219"/>
      <c r="I96" s="219"/>
      <c r="J96" s="226"/>
      <c r="K96" s="238"/>
      <c r="L96" s="226"/>
      <c r="M96" s="226">
        <f>SUM(E96:L96)</f>
        <v>0</v>
      </c>
      <c r="N96" s="67" t="s">
        <v>158</v>
      </c>
      <c r="O96" s="394"/>
      <c r="Q96" s="306"/>
      <c r="R96" s="288"/>
      <c r="S96" s="288"/>
      <c r="T96" s="288"/>
      <c r="U96" s="288"/>
      <c r="V96" s="288"/>
      <c r="W96" s="288"/>
      <c r="X96" s="87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</row>
    <row r="97" spans="1:35" ht="30.5" customHeight="1" x14ac:dyDescent="0.25">
      <c r="A97" s="67"/>
      <c r="B97" s="1020" t="s">
        <v>749</v>
      </c>
      <c r="C97" s="1021"/>
      <c r="D97" s="998" t="s">
        <v>988</v>
      </c>
      <c r="E97" s="213">
        <v>200000</v>
      </c>
      <c r="F97" s="213">
        <v>23400</v>
      </c>
      <c r="G97" s="213">
        <v>952136</v>
      </c>
      <c r="H97" s="217"/>
      <c r="I97" s="217"/>
      <c r="J97" s="213"/>
      <c r="K97" s="215"/>
      <c r="L97" s="213"/>
      <c r="M97" s="213">
        <f>SUM(E97:L97)</f>
        <v>1175536</v>
      </c>
      <c r="N97" s="67" t="s">
        <v>157</v>
      </c>
      <c r="O97" s="394"/>
      <c r="Q97" s="306"/>
      <c r="R97" s="288"/>
      <c r="S97" s="288"/>
      <c r="T97" s="288"/>
      <c r="U97" s="288"/>
      <c r="V97" s="288"/>
      <c r="W97" s="288"/>
      <c r="X97" s="87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</row>
    <row r="98" spans="1:35" ht="13" thickBot="1" x14ac:dyDescent="0.3">
      <c r="A98" s="67"/>
      <c r="B98" s="1011" t="s">
        <v>750</v>
      </c>
      <c r="C98" s="1013"/>
      <c r="D98" s="999"/>
      <c r="E98" s="213"/>
      <c r="F98" s="213"/>
      <c r="G98" s="213"/>
      <c r="H98" s="217"/>
      <c r="I98" s="217"/>
      <c r="J98" s="213"/>
      <c r="K98" s="215"/>
      <c r="L98" s="213"/>
      <c r="M98" s="213"/>
      <c r="N98" s="67" t="s">
        <v>158</v>
      </c>
      <c r="O98" s="394"/>
      <c r="Q98" s="306"/>
      <c r="R98" s="288"/>
      <c r="S98" s="288"/>
      <c r="T98" s="288"/>
      <c r="U98" s="288"/>
      <c r="V98" s="288"/>
      <c r="W98" s="288"/>
      <c r="X98" s="87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</row>
    <row r="99" spans="1:35" ht="23.5" customHeight="1" x14ac:dyDescent="0.25">
      <c r="A99" s="67"/>
      <c r="B99" s="959" t="s">
        <v>309</v>
      </c>
      <c r="C99" s="960"/>
      <c r="D99" s="998" t="s">
        <v>79</v>
      </c>
      <c r="E99" s="211"/>
      <c r="F99" s="211"/>
      <c r="G99" s="211"/>
      <c r="H99" s="216"/>
      <c r="I99" s="216"/>
      <c r="J99" s="211"/>
      <c r="K99" s="214"/>
      <c r="L99" s="211"/>
      <c r="M99" s="211"/>
      <c r="N99" s="67"/>
      <c r="Q99" s="306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</row>
    <row r="100" spans="1:35" x14ac:dyDescent="0.25">
      <c r="A100" s="67"/>
      <c r="B100" s="1000" t="s">
        <v>1024</v>
      </c>
      <c r="C100" s="1001"/>
      <c r="D100" s="1006"/>
      <c r="E100" s="213"/>
      <c r="F100" s="213"/>
      <c r="G100" s="213"/>
      <c r="H100" s="217"/>
      <c r="I100" s="217"/>
      <c r="J100" s="213"/>
      <c r="K100" s="215"/>
      <c r="L100" s="213"/>
      <c r="M100" s="213">
        <f>E100+F100+G100+H100+I100+J100+K100</f>
        <v>0</v>
      </c>
      <c r="N100" s="67" t="s">
        <v>157</v>
      </c>
      <c r="Q100" s="306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</row>
    <row r="101" spans="1:35" ht="13" thickBot="1" x14ac:dyDescent="0.3">
      <c r="A101" s="67"/>
      <c r="B101" s="34"/>
      <c r="C101" s="35"/>
      <c r="D101" s="999"/>
      <c r="E101" s="213"/>
      <c r="F101" s="213"/>
      <c r="G101" s="213"/>
      <c r="H101" s="217">
        <v>1000000</v>
      </c>
      <c r="I101" s="217"/>
      <c r="J101" s="213"/>
      <c r="K101" s="215"/>
      <c r="L101" s="213"/>
      <c r="M101" s="213">
        <f>E101+F101+G101+H101+I101+J101+K101</f>
        <v>1000000</v>
      </c>
      <c r="N101" s="67" t="s">
        <v>158</v>
      </c>
      <c r="O101" s="392" t="s">
        <v>751</v>
      </c>
      <c r="Q101" s="306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</row>
    <row r="102" spans="1:35" ht="23.5" customHeight="1" x14ac:dyDescent="0.25">
      <c r="A102" s="67"/>
      <c r="B102" s="959" t="s">
        <v>309</v>
      </c>
      <c r="C102" s="960"/>
      <c r="D102" s="998" t="s">
        <v>988</v>
      </c>
      <c r="E102" s="211"/>
      <c r="F102" s="211"/>
      <c r="G102" s="211"/>
      <c r="H102" s="216"/>
      <c r="I102" s="216"/>
      <c r="J102" s="211"/>
      <c r="K102" s="214"/>
      <c r="L102" s="214"/>
      <c r="M102" s="211"/>
      <c r="N102" s="67" t="s">
        <v>157</v>
      </c>
      <c r="Q102" s="306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</row>
    <row r="103" spans="1:35" ht="13" thickBot="1" x14ac:dyDescent="0.3">
      <c r="A103" s="67"/>
      <c r="B103" s="1000" t="s">
        <v>1024</v>
      </c>
      <c r="C103" s="1001"/>
      <c r="D103" s="999"/>
      <c r="E103" s="213"/>
      <c r="F103" s="213"/>
      <c r="G103" s="213"/>
      <c r="H103" s="217">
        <v>1000000</v>
      </c>
      <c r="I103" s="217"/>
      <c r="J103" s="213"/>
      <c r="K103" s="215"/>
      <c r="L103" s="215"/>
      <c r="M103" s="213">
        <f>SUM(E103:L103)</f>
        <v>1000000</v>
      </c>
      <c r="N103" s="67" t="s">
        <v>158</v>
      </c>
      <c r="Q103" s="306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</row>
    <row r="104" spans="1:35" ht="33" customHeight="1" x14ac:dyDescent="0.25">
      <c r="A104" s="67"/>
      <c r="B104" s="959" t="s">
        <v>310</v>
      </c>
      <c r="C104" s="960"/>
      <c r="D104" s="1022" t="s">
        <v>79</v>
      </c>
      <c r="E104" s="211"/>
      <c r="F104" s="211"/>
      <c r="G104" s="211"/>
      <c r="H104" s="216"/>
      <c r="I104" s="216"/>
      <c r="J104" s="211"/>
      <c r="K104" s="214"/>
      <c r="L104" s="214"/>
      <c r="M104" s="211">
        <f>E104+F104+G104+H104+I104+J104+K104</f>
        <v>0</v>
      </c>
      <c r="N104" s="67" t="s">
        <v>223</v>
      </c>
      <c r="Q104" s="306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</row>
    <row r="105" spans="1:35" ht="13" thickBot="1" x14ac:dyDescent="0.3">
      <c r="A105" s="67"/>
      <c r="B105" s="1009" t="s">
        <v>1025</v>
      </c>
      <c r="C105" s="1010"/>
      <c r="D105" s="1023"/>
      <c r="E105" s="213"/>
      <c r="F105" s="213"/>
      <c r="G105" s="213"/>
      <c r="H105" s="217">
        <v>1345141011</v>
      </c>
      <c r="I105" s="217"/>
      <c r="J105" s="213"/>
      <c r="K105" s="215"/>
      <c r="L105" s="215">
        <v>132053794</v>
      </c>
      <c r="M105" s="213">
        <f>E105+F105+G105+H105+I105+J105+K105+L105</f>
        <v>1477194805</v>
      </c>
      <c r="N105" s="67" t="s">
        <v>158</v>
      </c>
      <c r="Q105" s="306"/>
      <c r="R105" s="8"/>
      <c r="S105" s="8"/>
      <c r="T105" s="8"/>
      <c r="U105" s="8"/>
      <c r="V105" s="8"/>
      <c r="W105" s="87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</row>
    <row r="106" spans="1:35" ht="32" customHeight="1" x14ac:dyDescent="0.25">
      <c r="A106" s="67"/>
      <c r="B106" s="959" t="s">
        <v>310</v>
      </c>
      <c r="C106" s="960"/>
      <c r="D106" s="998" t="s">
        <v>988</v>
      </c>
      <c r="E106" s="211"/>
      <c r="F106" s="211"/>
      <c r="G106" s="211"/>
      <c r="H106" s="216"/>
      <c r="I106" s="216"/>
      <c r="J106" s="211"/>
      <c r="K106" s="214"/>
      <c r="L106" s="214"/>
      <c r="M106" s="211"/>
      <c r="N106" s="67" t="s">
        <v>223</v>
      </c>
      <c r="Q106" s="306"/>
      <c r="R106" s="8"/>
      <c r="S106" s="8"/>
      <c r="T106" s="8"/>
      <c r="U106" s="8"/>
      <c r="V106" s="8"/>
      <c r="W106" s="87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</row>
    <row r="107" spans="1:35" ht="13" thickBot="1" x14ac:dyDescent="0.3">
      <c r="A107" s="67"/>
      <c r="B107" s="1009" t="s">
        <v>1025</v>
      </c>
      <c r="C107" s="1010"/>
      <c r="D107" s="999"/>
      <c r="E107" s="731"/>
      <c r="F107" s="731"/>
      <c r="G107" s="731"/>
      <c r="H107" s="742">
        <f>1345141011+12428938</f>
        <v>1357569949</v>
      </c>
      <c r="I107" s="742"/>
      <c r="J107" s="731"/>
      <c r="K107" s="743"/>
      <c r="L107" s="743">
        <f>132053794+352558</f>
        <v>132406352</v>
      </c>
      <c r="M107" s="731">
        <f>SUM(E107:L107)</f>
        <v>1489976301</v>
      </c>
      <c r="N107" s="67" t="s">
        <v>158</v>
      </c>
      <c r="Q107" s="306"/>
      <c r="R107" s="8"/>
      <c r="S107" s="8"/>
      <c r="T107" s="8"/>
      <c r="U107" s="8"/>
      <c r="V107" s="8"/>
      <c r="W107" s="87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</row>
    <row r="108" spans="1:35" x14ac:dyDescent="0.25">
      <c r="A108" s="67"/>
      <c r="B108" s="1007" t="s">
        <v>222</v>
      </c>
      <c r="C108" s="1008"/>
      <c r="D108" s="998" t="s">
        <v>79</v>
      </c>
      <c r="E108" s="211"/>
      <c r="F108" s="211"/>
      <c r="G108" s="211"/>
      <c r="H108" s="216"/>
      <c r="I108" s="216"/>
      <c r="J108" s="211"/>
      <c r="K108" s="214"/>
      <c r="L108" s="214"/>
      <c r="M108" s="211">
        <f>E108+F108+G108+H108+I108+J108+K108+L108</f>
        <v>0</v>
      </c>
      <c r="N108" s="67" t="s">
        <v>157</v>
      </c>
      <c r="Q108" s="306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</row>
    <row r="109" spans="1:35" ht="13" thickBot="1" x14ac:dyDescent="0.3">
      <c r="A109" s="67"/>
      <c r="B109" s="1019">
        <v>900060</v>
      </c>
      <c r="C109" s="1001"/>
      <c r="D109" s="999"/>
      <c r="E109" s="213"/>
      <c r="F109" s="213"/>
      <c r="G109" s="213">
        <v>1580000</v>
      </c>
      <c r="H109" s="217"/>
      <c r="I109" s="217"/>
      <c r="J109" s="213"/>
      <c r="K109" s="215"/>
      <c r="L109" s="215"/>
      <c r="M109" s="213">
        <f>E109+F109+G109+H109+I109+J109+K109+L109</f>
        <v>1580000</v>
      </c>
      <c r="N109" s="67" t="s">
        <v>158</v>
      </c>
      <c r="Q109" s="306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</row>
    <row r="110" spans="1:35" x14ac:dyDescent="0.25">
      <c r="A110" s="67"/>
      <c r="B110" s="1007" t="s">
        <v>222</v>
      </c>
      <c r="C110" s="1008"/>
      <c r="D110" s="998" t="s">
        <v>988</v>
      </c>
      <c r="E110" s="211"/>
      <c r="F110" s="211"/>
      <c r="G110" s="211"/>
      <c r="H110" s="216"/>
      <c r="I110" s="216"/>
      <c r="J110" s="211"/>
      <c r="K110" s="214"/>
      <c r="L110" s="214"/>
      <c r="M110" s="211"/>
      <c r="N110" s="67" t="s">
        <v>157</v>
      </c>
      <c r="Q110" s="306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</row>
    <row r="111" spans="1:35" ht="13" thickBot="1" x14ac:dyDescent="0.3">
      <c r="A111" s="67"/>
      <c r="B111" s="1019">
        <v>900060</v>
      </c>
      <c r="C111" s="1001"/>
      <c r="D111" s="999"/>
      <c r="E111" s="731"/>
      <c r="F111" s="731"/>
      <c r="G111" s="731">
        <v>1580000</v>
      </c>
      <c r="H111" s="742"/>
      <c r="I111" s="742"/>
      <c r="J111" s="731"/>
      <c r="K111" s="743"/>
      <c r="L111" s="743"/>
      <c r="M111" s="731">
        <f>SUM(E111:L111)</f>
        <v>1580000</v>
      </c>
      <c r="N111" s="67" t="s">
        <v>158</v>
      </c>
      <c r="Q111" s="306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</row>
    <row r="112" spans="1:35" x14ac:dyDescent="0.25">
      <c r="A112" s="67"/>
      <c r="B112" s="1007" t="s">
        <v>1026</v>
      </c>
      <c r="C112" s="1008"/>
      <c r="D112" s="998" t="s">
        <v>79</v>
      </c>
      <c r="E112" s="211"/>
      <c r="F112" s="211"/>
      <c r="G112" s="211"/>
      <c r="H112" s="216"/>
      <c r="I112" s="216"/>
      <c r="J112" s="211"/>
      <c r="K112" s="214"/>
      <c r="L112" s="214"/>
      <c r="M112" s="211">
        <f>E112+F112+G112+H112+I112+J112+K112+L112</f>
        <v>0</v>
      </c>
      <c r="N112" s="67" t="s">
        <v>157</v>
      </c>
      <c r="Q112" s="306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</row>
    <row r="113" spans="1:35" ht="13" thickBot="1" x14ac:dyDescent="0.3">
      <c r="A113" s="67"/>
      <c r="B113" s="1011" t="s">
        <v>371</v>
      </c>
      <c r="C113" s="1013"/>
      <c r="D113" s="999"/>
      <c r="E113" s="213"/>
      <c r="F113" s="213"/>
      <c r="G113" s="213"/>
      <c r="H113" s="217">
        <v>15000000</v>
      </c>
      <c r="I113" s="217"/>
      <c r="J113" s="213"/>
      <c r="K113" s="218">
        <v>44000000</v>
      </c>
      <c r="L113" s="215"/>
      <c r="M113" s="213">
        <f>E113+F113+G113+H113+I113+J113+K113+L113</f>
        <v>59000000</v>
      </c>
      <c r="N113" s="67" t="s">
        <v>158</v>
      </c>
      <c r="Q113" s="306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</row>
    <row r="114" spans="1:35" x14ac:dyDescent="0.25">
      <c r="A114" s="67"/>
      <c r="B114" s="1007" t="s">
        <v>1026</v>
      </c>
      <c r="C114" s="1008"/>
      <c r="D114" s="998" t="s">
        <v>988</v>
      </c>
      <c r="E114" s="211"/>
      <c r="F114" s="211"/>
      <c r="G114" s="211"/>
      <c r="H114" s="216">
        <v>200000</v>
      </c>
      <c r="I114" s="216"/>
      <c r="J114" s="211"/>
      <c r="K114" s="744"/>
      <c r="L114" s="214"/>
      <c r="M114" s="211">
        <f>SUM(E114:L114)</f>
        <v>200000</v>
      </c>
      <c r="N114" s="67" t="s">
        <v>157</v>
      </c>
      <c r="Q114" s="306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</row>
    <row r="115" spans="1:35" ht="13" thickBot="1" x14ac:dyDescent="0.3">
      <c r="A115" s="67"/>
      <c r="B115" s="1011" t="s">
        <v>371</v>
      </c>
      <c r="C115" s="1013"/>
      <c r="D115" s="999"/>
      <c r="E115" s="213"/>
      <c r="F115" s="213"/>
      <c r="G115" s="213"/>
      <c r="H115" s="217">
        <f>15000000-12428938</f>
        <v>2571062</v>
      </c>
      <c r="I115" s="217"/>
      <c r="J115" s="213"/>
      <c r="K115" s="218">
        <f>44000000-7940684-6546740</f>
        <v>29512576</v>
      </c>
      <c r="L115" s="215"/>
      <c r="M115" s="213">
        <f>SUM(E115:L115)</f>
        <v>32083638</v>
      </c>
      <c r="N115" s="67" t="s">
        <v>158</v>
      </c>
      <c r="Q115" s="306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</row>
    <row r="116" spans="1:35" x14ac:dyDescent="0.25">
      <c r="A116" s="67"/>
      <c r="B116" s="1007" t="s">
        <v>1027</v>
      </c>
      <c r="C116" s="1008"/>
      <c r="D116" s="998" t="s">
        <v>79</v>
      </c>
      <c r="E116" s="211">
        <v>795400</v>
      </c>
      <c r="F116" s="211">
        <v>248206</v>
      </c>
      <c r="G116" s="211"/>
      <c r="H116" s="216">
        <v>780000</v>
      </c>
      <c r="I116" s="216">
        <v>2050000</v>
      </c>
      <c r="J116" s="211"/>
      <c r="K116" s="214"/>
      <c r="L116" s="214"/>
      <c r="M116" s="211">
        <f t="shared" ref="M116:M122" si="13">E116+F116+G116+H116+I116+J116+K116</f>
        <v>3873606</v>
      </c>
      <c r="N116" s="67" t="s">
        <v>157</v>
      </c>
      <c r="Q116" s="306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</row>
    <row r="117" spans="1:35" ht="13" thickBot="1" x14ac:dyDescent="0.3">
      <c r="A117" s="67"/>
      <c r="B117" s="1011" t="s">
        <v>1028</v>
      </c>
      <c r="C117" s="1012"/>
      <c r="D117" s="999"/>
      <c r="E117" s="213"/>
      <c r="F117" s="213"/>
      <c r="G117" s="213">
        <v>3781200</v>
      </c>
      <c r="H117" s="217"/>
      <c r="I117" s="217"/>
      <c r="J117" s="213"/>
      <c r="K117" s="215">
        <v>37000000</v>
      </c>
      <c r="L117" s="215"/>
      <c r="M117" s="226">
        <f t="shared" si="13"/>
        <v>40781200</v>
      </c>
      <c r="N117" s="67" t="s">
        <v>158</v>
      </c>
      <c r="O117" s="394">
        <f>M117+M116</f>
        <v>44654806</v>
      </c>
      <c r="P117" s="390" t="s">
        <v>751</v>
      </c>
      <c r="Q117" s="306"/>
      <c r="R117" s="8"/>
      <c r="S117" s="8"/>
      <c r="T117" s="8"/>
      <c r="U117" s="8"/>
      <c r="V117" s="8"/>
      <c r="W117" s="87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</row>
    <row r="118" spans="1:35" x14ac:dyDescent="0.25">
      <c r="A118" s="67"/>
      <c r="B118" s="1007" t="s">
        <v>1027</v>
      </c>
      <c r="C118" s="1008"/>
      <c r="D118" s="998" t="s">
        <v>988</v>
      </c>
      <c r="E118" s="211">
        <v>795400</v>
      </c>
      <c r="F118" s="211">
        <v>248206</v>
      </c>
      <c r="G118" s="211"/>
      <c r="H118" s="216">
        <v>780000</v>
      </c>
      <c r="I118" s="216">
        <v>2050000</v>
      </c>
      <c r="J118" s="211"/>
      <c r="K118" s="214"/>
      <c r="L118" s="214"/>
      <c r="M118" s="213">
        <f>SUM(E118:L118)</f>
        <v>3873606</v>
      </c>
      <c r="N118" s="67" t="s">
        <v>157</v>
      </c>
      <c r="Q118" s="306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</row>
    <row r="119" spans="1:35" ht="13" thickBot="1" x14ac:dyDescent="0.3">
      <c r="A119" s="67"/>
      <c r="B119" s="1011" t="s">
        <v>1028</v>
      </c>
      <c r="C119" s="1012"/>
      <c r="D119" s="999"/>
      <c r="E119" s="213"/>
      <c r="F119" s="213"/>
      <c r="G119" s="213">
        <v>3781200</v>
      </c>
      <c r="H119" s="217"/>
      <c r="I119" s="217"/>
      <c r="J119" s="213"/>
      <c r="K119" s="215">
        <f>37000000-16862138</f>
        <v>20137862</v>
      </c>
      <c r="L119" s="215"/>
      <c r="M119" s="213">
        <f>SUM(E119:L119)</f>
        <v>23919062</v>
      </c>
      <c r="N119" s="67" t="s">
        <v>158</v>
      </c>
      <c r="Q119" s="306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</row>
    <row r="120" spans="1:35" x14ac:dyDescent="0.25">
      <c r="A120" s="67"/>
      <c r="B120" s="1007" t="s">
        <v>225</v>
      </c>
      <c r="C120" s="1008"/>
      <c r="D120" s="998" t="s">
        <v>79</v>
      </c>
      <c r="E120" s="211"/>
      <c r="F120" s="211"/>
      <c r="G120" s="211"/>
      <c r="H120" s="216"/>
      <c r="I120" s="216"/>
      <c r="J120" s="211"/>
      <c r="K120" s="214"/>
      <c r="L120" s="214"/>
      <c r="M120" s="211">
        <f t="shared" si="13"/>
        <v>0</v>
      </c>
      <c r="N120" s="67" t="s">
        <v>157</v>
      </c>
      <c r="Q120" s="306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</row>
    <row r="121" spans="1:35" ht="26" customHeight="1" thickBot="1" x14ac:dyDescent="0.3">
      <c r="A121" s="67"/>
      <c r="B121" s="961" t="s">
        <v>226</v>
      </c>
      <c r="C121" s="962"/>
      <c r="D121" s="999"/>
      <c r="E121" s="226">
        <v>41797823</v>
      </c>
      <c r="F121" s="226">
        <v>5546217</v>
      </c>
      <c r="G121" s="226">
        <v>4955724</v>
      </c>
      <c r="H121" s="219"/>
      <c r="I121" s="219"/>
      <c r="J121" s="226"/>
      <c r="K121" s="238"/>
      <c r="L121" s="238"/>
      <c r="M121" s="226">
        <f t="shared" si="13"/>
        <v>52299764</v>
      </c>
      <c r="N121" s="67" t="s">
        <v>158</v>
      </c>
      <c r="O121" s="392" t="s">
        <v>751</v>
      </c>
      <c r="Q121" s="306"/>
      <c r="R121" s="8"/>
      <c r="S121" s="8"/>
      <c r="T121" s="8"/>
      <c r="U121" s="8"/>
      <c r="V121" s="8"/>
      <c r="W121" s="87"/>
      <c r="X121" s="87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</row>
    <row r="122" spans="1:35" x14ac:dyDescent="0.25">
      <c r="A122" s="67"/>
      <c r="B122" s="1007" t="s">
        <v>225</v>
      </c>
      <c r="C122" s="1008"/>
      <c r="D122" s="998" t="s">
        <v>988</v>
      </c>
      <c r="E122" s="211"/>
      <c r="F122" s="211"/>
      <c r="G122" s="211"/>
      <c r="H122" s="216"/>
      <c r="I122" s="216"/>
      <c r="J122" s="211"/>
      <c r="K122" s="214"/>
      <c r="L122" s="211"/>
      <c r="M122" s="211">
        <f t="shared" si="13"/>
        <v>0</v>
      </c>
      <c r="N122" s="67" t="s">
        <v>157</v>
      </c>
      <c r="Q122" s="306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</row>
    <row r="123" spans="1:35" ht="23.5" customHeight="1" thickBot="1" x14ac:dyDescent="0.3">
      <c r="A123" s="67"/>
      <c r="B123" s="961" t="s">
        <v>226</v>
      </c>
      <c r="C123" s="962"/>
      <c r="D123" s="999"/>
      <c r="E123" s="226">
        <f>41797823+23374605+3347158</f>
        <v>68519586</v>
      </c>
      <c r="F123" s="226">
        <f>5546217+3087699+435130</f>
        <v>9069046</v>
      </c>
      <c r="G123" s="226">
        <v>4955724</v>
      </c>
      <c r="H123" s="219"/>
      <c r="I123" s="219"/>
      <c r="J123" s="226"/>
      <c r="K123" s="238"/>
      <c r="L123" s="226"/>
      <c r="M123" s="226">
        <f>E123+F123+G123+H123+I123+J123+K123+L123</f>
        <v>82544356</v>
      </c>
      <c r="N123" s="67" t="s">
        <v>158</v>
      </c>
      <c r="Q123" s="306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</row>
    <row r="124" spans="1:35" x14ac:dyDescent="0.25">
      <c r="A124" s="67"/>
      <c r="B124" s="1007" t="s">
        <v>1029</v>
      </c>
      <c r="C124" s="1008"/>
      <c r="D124" s="998" t="s">
        <v>79</v>
      </c>
      <c r="E124" s="213"/>
      <c r="F124" s="213"/>
      <c r="G124" s="213"/>
      <c r="H124" s="217">
        <f>'[2]védőnő,telep.eü.,ifj.eü.'!$F$119</f>
        <v>0</v>
      </c>
      <c r="I124" s="217">
        <v>26727500</v>
      </c>
      <c r="J124" s="213"/>
      <c r="K124" s="215"/>
      <c r="L124" s="213"/>
      <c r="M124" s="212">
        <f t="shared" ref="M124:M135" si="14">E124+F124+G124+H124+I124+J124+K124</f>
        <v>26727500</v>
      </c>
      <c r="N124" s="67" t="s">
        <v>157</v>
      </c>
      <c r="O124" s="394">
        <f>M124+M125+M121+M120</f>
        <v>147004892</v>
      </c>
      <c r="Q124" s="306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</row>
    <row r="125" spans="1:35" ht="13" thickBot="1" x14ac:dyDescent="0.3">
      <c r="A125" s="67"/>
      <c r="B125" s="1011" t="s">
        <v>488</v>
      </c>
      <c r="C125" s="1012"/>
      <c r="D125" s="999"/>
      <c r="E125" s="213">
        <v>43339672</v>
      </c>
      <c r="F125" s="213">
        <v>5784157</v>
      </c>
      <c r="G125" s="213">
        <v>18853799</v>
      </c>
      <c r="H125" s="217"/>
      <c r="I125" s="217"/>
      <c r="J125" s="213"/>
      <c r="K125" s="215"/>
      <c r="L125" s="213"/>
      <c r="M125" s="212">
        <f t="shared" si="14"/>
        <v>67977628</v>
      </c>
      <c r="N125" s="67" t="s">
        <v>158</v>
      </c>
      <c r="O125" s="394">
        <f>M125+M124+M121+M120</f>
        <v>147004892</v>
      </c>
      <c r="Q125" s="306"/>
      <c r="R125" s="8"/>
      <c r="S125" s="8"/>
      <c r="T125" s="8"/>
      <c r="U125" s="8"/>
      <c r="V125" s="8"/>
      <c r="W125" s="87"/>
      <c r="X125" s="87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</row>
    <row r="126" spans="1:35" x14ac:dyDescent="0.25">
      <c r="A126" s="67"/>
      <c r="B126" s="1007" t="s">
        <v>1029</v>
      </c>
      <c r="C126" s="1008"/>
      <c r="D126" s="998" t="s">
        <v>988</v>
      </c>
      <c r="E126" s="211"/>
      <c r="F126" s="211"/>
      <c r="G126" s="211"/>
      <c r="H126" s="216"/>
      <c r="I126" s="216">
        <f>26727500-799976-3000000</f>
        <v>22927524</v>
      </c>
      <c r="J126" s="211"/>
      <c r="K126" s="214"/>
      <c r="L126" s="214"/>
      <c r="M126" s="211">
        <f>SUM(E126:L126)</f>
        <v>22927524</v>
      </c>
      <c r="N126" s="67" t="s">
        <v>157</v>
      </c>
      <c r="O126" s="394"/>
      <c r="Q126" s="306"/>
      <c r="R126" s="8"/>
      <c r="S126" s="8"/>
      <c r="T126" s="8"/>
      <c r="U126" s="8"/>
      <c r="V126" s="8"/>
      <c r="W126" s="87"/>
      <c r="X126" s="87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</row>
    <row r="127" spans="1:35" ht="13" thickBot="1" x14ac:dyDescent="0.3">
      <c r="A127" s="67"/>
      <c r="B127" s="1011" t="s">
        <v>488</v>
      </c>
      <c r="C127" s="1012"/>
      <c r="D127" s="999"/>
      <c r="E127" s="731">
        <v>43339672</v>
      </c>
      <c r="F127" s="731">
        <v>5784157</v>
      </c>
      <c r="G127" s="731">
        <f>18853799+799976</f>
        <v>19653775</v>
      </c>
      <c r="H127" s="742"/>
      <c r="I127" s="742"/>
      <c r="J127" s="731"/>
      <c r="K127" s="743"/>
      <c r="L127" s="743"/>
      <c r="M127" s="731">
        <f>SUM(E127:L127)</f>
        <v>68777604</v>
      </c>
      <c r="N127" s="67" t="s">
        <v>158</v>
      </c>
      <c r="O127" s="394"/>
      <c r="Q127" s="306"/>
      <c r="R127" s="8"/>
      <c r="S127" s="8"/>
      <c r="T127" s="8"/>
      <c r="U127" s="8"/>
      <c r="V127" s="8"/>
      <c r="W127" s="87"/>
      <c r="X127" s="87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</row>
    <row r="128" spans="1:35" x14ac:dyDescent="0.25">
      <c r="A128" s="67"/>
      <c r="B128" s="1007" t="s">
        <v>312</v>
      </c>
      <c r="C128" s="1008"/>
      <c r="D128" s="998" t="s">
        <v>79</v>
      </c>
      <c r="E128" s="220"/>
      <c r="F128" s="211"/>
      <c r="G128" s="211"/>
      <c r="H128" s="211"/>
      <c r="I128" s="216"/>
      <c r="J128" s="292"/>
      <c r="K128" s="293"/>
      <c r="L128" s="293"/>
      <c r="M128" s="211">
        <f t="shared" si="14"/>
        <v>0</v>
      </c>
      <c r="N128" s="67" t="s">
        <v>157</v>
      </c>
      <c r="Q128" s="306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</row>
    <row r="129" spans="1:35" ht="13" thickBot="1" x14ac:dyDescent="0.3">
      <c r="A129" s="67"/>
      <c r="B129" s="1011" t="s">
        <v>1030</v>
      </c>
      <c r="C129" s="1012"/>
      <c r="D129" s="999"/>
      <c r="E129" s="213">
        <v>13369600</v>
      </c>
      <c r="F129" s="213">
        <v>904040</v>
      </c>
      <c r="G129" s="213">
        <v>0</v>
      </c>
      <c r="H129" s="213"/>
      <c r="I129" s="217"/>
      <c r="J129" s="240"/>
      <c r="K129" s="241"/>
      <c r="L129" s="241"/>
      <c r="M129" s="213">
        <f t="shared" si="14"/>
        <v>14273640</v>
      </c>
      <c r="N129" s="67" t="s">
        <v>158</v>
      </c>
      <c r="O129" s="394"/>
      <c r="P129" s="390" t="s">
        <v>751</v>
      </c>
      <c r="Q129" s="306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</row>
    <row r="130" spans="1:35" x14ac:dyDescent="0.25">
      <c r="A130" s="67"/>
      <c r="B130" s="1007" t="s">
        <v>312</v>
      </c>
      <c r="C130" s="1008"/>
      <c r="D130" s="998" t="s">
        <v>988</v>
      </c>
      <c r="E130" s="211"/>
      <c r="F130" s="211"/>
      <c r="G130" s="211"/>
      <c r="H130" s="211"/>
      <c r="I130" s="216"/>
      <c r="J130" s="292"/>
      <c r="K130" s="293"/>
      <c r="L130" s="293"/>
      <c r="M130" s="211"/>
      <c r="N130" s="67" t="s">
        <v>157</v>
      </c>
      <c r="O130" s="394"/>
      <c r="Q130" s="306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</row>
    <row r="131" spans="1:35" ht="13" thickBot="1" x14ac:dyDescent="0.3">
      <c r="A131" s="67"/>
      <c r="B131" s="1011" t="s">
        <v>1030</v>
      </c>
      <c r="C131" s="1012"/>
      <c r="D131" s="999"/>
      <c r="E131" s="213">
        <v>13369600</v>
      </c>
      <c r="F131" s="213">
        <v>904040</v>
      </c>
      <c r="G131" s="213">
        <v>0</v>
      </c>
      <c r="H131" s="213"/>
      <c r="I131" s="217"/>
      <c r="J131" s="240"/>
      <c r="K131" s="241"/>
      <c r="L131" s="241"/>
      <c r="M131" s="213">
        <f>SUM(E131:L131)</f>
        <v>14273640</v>
      </c>
      <c r="N131" s="67" t="s">
        <v>158</v>
      </c>
      <c r="O131" s="394"/>
      <c r="Q131" s="306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</row>
    <row r="132" spans="1:35" ht="24" customHeight="1" x14ac:dyDescent="0.25">
      <c r="A132" s="67"/>
      <c r="B132" s="959" t="s">
        <v>314</v>
      </c>
      <c r="C132" s="960"/>
      <c r="D132" s="998" t="s">
        <v>79</v>
      </c>
      <c r="E132" s="220"/>
      <c r="F132" s="211"/>
      <c r="G132" s="211"/>
      <c r="H132" s="211">
        <v>7000000</v>
      </c>
      <c r="I132" s="216">
        <v>60000000</v>
      </c>
      <c r="J132" s="292"/>
      <c r="K132" s="293"/>
      <c r="L132" s="292"/>
      <c r="M132" s="211">
        <f t="shared" si="14"/>
        <v>67000000</v>
      </c>
      <c r="N132" s="67" t="s">
        <v>157</v>
      </c>
      <c r="Q132" s="306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</row>
    <row r="133" spans="1:35" ht="13" thickBot="1" x14ac:dyDescent="0.3">
      <c r="A133" s="67"/>
      <c r="B133" s="1016" t="s">
        <v>313</v>
      </c>
      <c r="C133" s="1017"/>
      <c r="D133" s="999"/>
      <c r="E133" s="213">
        <v>11617200</v>
      </c>
      <c r="F133" s="213"/>
      <c r="G133" s="213"/>
      <c r="H133" s="213"/>
      <c r="I133" s="217"/>
      <c r="J133" s="240">
        <v>51900000</v>
      </c>
      <c r="K133" s="241"/>
      <c r="L133" s="240"/>
      <c r="M133" s="226">
        <f t="shared" si="14"/>
        <v>63517200</v>
      </c>
      <c r="N133" s="67" t="s">
        <v>158</v>
      </c>
      <c r="O133" s="394"/>
      <c r="P133" s="390" t="s">
        <v>751</v>
      </c>
      <c r="Q133" s="306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</row>
    <row r="134" spans="1:35" ht="22.5" customHeight="1" x14ac:dyDescent="0.25">
      <c r="A134" s="67"/>
      <c r="B134" s="959" t="s">
        <v>314</v>
      </c>
      <c r="C134" s="960"/>
      <c r="D134" s="998" t="s">
        <v>988</v>
      </c>
      <c r="E134" s="220"/>
      <c r="F134" s="211"/>
      <c r="G134" s="211"/>
      <c r="H134" s="211">
        <v>7000000</v>
      </c>
      <c r="I134" s="216">
        <v>60000000</v>
      </c>
      <c r="J134" s="292"/>
      <c r="K134" s="293"/>
      <c r="L134" s="293"/>
      <c r="M134" s="211">
        <f t="shared" si="14"/>
        <v>67000000</v>
      </c>
      <c r="N134" s="67" t="s">
        <v>157</v>
      </c>
      <c r="Q134" s="306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</row>
    <row r="135" spans="1:35" ht="13" thickBot="1" x14ac:dyDescent="0.3">
      <c r="A135" s="67"/>
      <c r="B135" s="1016" t="s">
        <v>313</v>
      </c>
      <c r="C135" s="1017"/>
      <c r="D135" s="999"/>
      <c r="E135" s="367">
        <v>11617200</v>
      </c>
      <c r="F135" s="213"/>
      <c r="G135" s="213"/>
      <c r="H135" s="213"/>
      <c r="I135" s="217"/>
      <c r="J135" s="240">
        <v>51900000</v>
      </c>
      <c r="K135" s="241"/>
      <c r="L135" s="241"/>
      <c r="M135" s="226">
        <f t="shared" si="14"/>
        <v>63517200</v>
      </c>
      <c r="N135" s="67" t="s">
        <v>158</v>
      </c>
      <c r="Q135" s="306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</row>
    <row r="136" spans="1:35" ht="35" customHeight="1" x14ac:dyDescent="0.25">
      <c r="A136" s="67"/>
      <c r="B136" s="1018" t="s">
        <v>315</v>
      </c>
      <c r="C136" s="939"/>
      <c r="D136" s="940"/>
      <c r="E136" s="220"/>
      <c r="F136" s="211"/>
      <c r="G136" s="211"/>
      <c r="H136" s="211"/>
      <c r="I136" s="216"/>
      <c r="J136" s="292"/>
      <c r="K136" s="293"/>
      <c r="L136" s="293"/>
      <c r="M136" s="211"/>
      <c r="N136" s="67" t="s">
        <v>157</v>
      </c>
      <c r="O136" s="394">
        <f>M137+M133+M132+M129</f>
        <v>1360029956</v>
      </c>
      <c r="P136" s="390" t="s">
        <v>751</v>
      </c>
      <c r="Q136" s="306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</row>
    <row r="137" spans="1:35" ht="13" thickBot="1" x14ac:dyDescent="0.3">
      <c r="A137" s="67"/>
      <c r="B137" s="1009" t="s">
        <v>371</v>
      </c>
      <c r="C137" s="1010"/>
      <c r="D137" s="85" t="s">
        <v>79</v>
      </c>
      <c r="E137" s="242"/>
      <c r="F137" s="226"/>
      <c r="G137" s="226">
        <v>24354230</v>
      </c>
      <c r="H137" s="226">
        <v>1190884886</v>
      </c>
      <c r="I137" s="219"/>
      <c r="J137" s="243"/>
      <c r="K137" s="244"/>
      <c r="L137" s="244"/>
      <c r="M137" s="226">
        <f>SUM(E137:L137)</f>
        <v>1215239116</v>
      </c>
      <c r="N137" s="67" t="s">
        <v>158</v>
      </c>
      <c r="O137" s="394">
        <f>M137+M133+M132+M129</f>
        <v>1360029956</v>
      </c>
      <c r="P137" s="391"/>
      <c r="Q137" s="306"/>
      <c r="R137" s="288"/>
      <c r="S137" s="288"/>
      <c r="T137" s="288"/>
      <c r="U137" s="8"/>
      <c r="V137" s="8"/>
      <c r="W137" s="87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</row>
    <row r="138" spans="1:35" ht="34" customHeight="1" x14ac:dyDescent="0.25">
      <c r="A138" s="67"/>
      <c r="B138" s="1018" t="s">
        <v>315</v>
      </c>
      <c r="C138" s="939"/>
      <c r="D138" s="940"/>
      <c r="E138" s="239"/>
      <c r="F138" s="213"/>
      <c r="G138" s="213"/>
      <c r="H138" s="213"/>
      <c r="I138" s="217"/>
      <c r="J138" s="240"/>
      <c r="K138" s="241"/>
      <c r="L138" s="241"/>
      <c r="M138" s="213"/>
      <c r="N138" s="67" t="s">
        <v>157</v>
      </c>
      <c r="O138" s="394"/>
      <c r="P138" s="391"/>
      <c r="Q138" s="306"/>
      <c r="R138" s="288"/>
      <c r="S138" s="288"/>
      <c r="T138" s="288"/>
      <c r="U138" s="8"/>
      <c r="V138" s="8"/>
      <c r="W138" s="87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</row>
    <row r="139" spans="1:35" ht="13" thickBot="1" x14ac:dyDescent="0.3">
      <c r="A139" s="67"/>
      <c r="B139" s="1011" t="s">
        <v>371</v>
      </c>
      <c r="C139" s="1013"/>
      <c r="D139" s="353" t="s">
        <v>988</v>
      </c>
      <c r="E139" s="239"/>
      <c r="F139" s="213"/>
      <c r="G139" s="213">
        <v>24354230</v>
      </c>
      <c r="H139" s="213">
        <f>1190884886+75499759+35454887+78988457+1935366</f>
        <v>1382763355</v>
      </c>
      <c r="I139" s="217"/>
      <c r="J139" s="240"/>
      <c r="K139" s="241"/>
      <c r="L139" s="241"/>
      <c r="M139" s="213">
        <f>SUM(E139:L139)</f>
        <v>1407117585</v>
      </c>
      <c r="N139" s="67" t="s">
        <v>158</v>
      </c>
      <c r="O139" s="394"/>
      <c r="P139" s="391"/>
      <c r="Q139" s="306"/>
      <c r="R139" s="288"/>
      <c r="S139" s="288"/>
      <c r="T139" s="288"/>
      <c r="U139" s="8"/>
      <c r="V139" s="8"/>
      <c r="W139" s="87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</row>
    <row r="140" spans="1:35" ht="21" customHeight="1" x14ac:dyDescent="0.25">
      <c r="A140" s="67"/>
      <c r="B140" s="959" t="s">
        <v>1031</v>
      </c>
      <c r="C140" s="960"/>
      <c r="D140" s="998" t="s">
        <v>79</v>
      </c>
      <c r="E140" s="220"/>
      <c r="F140" s="211"/>
      <c r="G140" s="211"/>
      <c r="H140" s="211"/>
      <c r="I140" s="216">
        <v>21500000</v>
      </c>
      <c r="J140" s="292"/>
      <c r="K140" s="293"/>
      <c r="L140" s="293"/>
      <c r="M140" s="211">
        <f>E140+F140+G140+H140+I140+J140+K140</f>
        <v>21500000</v>
      </c>
      <c r="N140" s="67" t="s">
        <v>157</v>
      </c>
      <c r="Q140" s="306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</row>
    <row r="141" spans="1:35" ht="13" thickBot="1" x14ac:dyDescent="0.3">
      <c r="A141" s="67"/>
      <c r="B141" s="1009" t="s">
        <v>1032</v>
      </c>
      <c r="C141" s="1010"/>
      <c r="D141" s="999"/>
      <c r="E141" s="239"/>
      <c r="F141" s="213"/>
      <c r="G141" s="213"/>
      <c r="H141" s="213"/>
      <c r="I141" s="217"/>
      <c r="J141" s="240"/>
      <c r="K141" s="241"/>
      <c r="L141" s="241"/>
      <c r="M141" s="213">
        <v>0</v>
      </c>
      <c r="N141" s="67" t="s">
        <v>158</v>
      </c>
      <c r="Q141" s="306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</row>
    <row r="142" spans="1:35" ht="21.5" customHeight="1" x14ac:dyDescent="0.25">
      <c r="A142" s="67"/>
      <c r="B142" s="959" t="s">
        <v>1031</v>
      </c>
      <c r="C142" s="960"/>
      <c r="D142" s="998" t="s">
        <v>988</v>
      </c>
      <c r="E142" s="220"/>
      <c r="F142" s="211"/>
      <c r="G142" s="211"/>
      <c r="H142" s="211"/>
      <c r="I142" s="216">
        <v>21500000</v>
      </c>
      <c r="J142" s="292"/>
      <c r="K142" s="293"/>
      <c r="L142" s="293"/>
      <c r="M142" s="211">
        <f>SUM(E142:L142)</f>
        <v>21500000</v>
      </c>
      <c r="N142" s="67" t="s">
        <v>157</v>
      </c>
      <c r="Q142" s="306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</row>
    <row r="143" spans="1:35" ht="13" thickBot="1" x14ac:dyDescent="0.3">
      <c r="A143" s="67"/>
      <c r="B143" s="1009" t="s">
        <v>1032</v>
      </c>
      <c r="C143" s="1010"/>
      <c r="D143" s="999"/>
      <c r="E143" s="239"/>
      <c r="F143" s="213"/>
      <c r="G143" s="213"/>
      <c r="H143" s="213"/>
      <c r="I143" s="217"/>
      <c r="J143" s="240"/>
      <c r="K143" s="241"/>
      <c r="L143" s="241"/>
      <c r="M143" s="213"/>
      <c r="N143" s="67" t="s">
        <v>158</v>
      </c>
      <c r="Q143" s="306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</row>
    <row r="144" spans="1:35" x14ac:dyDescent="0.25">
      <c r="A144" s="67"/>
      <c r="B144" s="1007" t="s">
        <v>227</v>
      </c>
      <c r="C144" s="1008"/>
      <c r="D144" s="998" t="s">
        <v>79</v>
      </c>
      <c r="E144" s="220"/>
      <c r="F144" s="211"/>
      <c r="G144" s="211"/>
      <c r="H144" s="211"/>
      <c r="I144" s="216"/>
      <c r="J144" s="292"/>
      <c r="K144" s="293"/>
      <c r="L144" s="293"/>
      <c r="M144" s="211">
        <f t="shared" ref="M144:M156" si="15">E144+F144+G144+H144+I144+J144+K144</f>
        <v>0</v>
      </c>
      <c r="N144" s="67" t="s">
        <v>157</v>
      </c>
      <c r="P144" s="391"/>
      <c r="Q144" s="306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</row>
    <row r="145" spans="1:35" ht="13" thickBot="1" x14ac:dyDescent="0.3">
      <c r="A145" s="67"/>
      <c r="B145" s="1014" t="s">
        <v>1033</v>
      </c>
      <c r="C145" s="1015"/>
      <c r="D145" s="999"/>
      <c r="E145" s="242"/>
      <c r="F145" s="226"/>
      <c r="G145" s="226"/>
      <c r="H145" s="226"/>
      <c r="I145" s="219">
        <v>61132000</v>
      </c>
      <c r="J145" s="243"/>
      <c r="K145" s="244"/>
      <c r="L145" s="745"/>
      <c r="M145" s="731">
        <f t="shared" si="15"/>
        <v>61132000</v>
      </c>
      <c r="N145" s="67" t="s">
        <v>158</v>
      </c>
      <c r="Q145" s="306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</row>
    <row r="146" spans="1:35" x14ac:dyDescent="0.25">
      <c r="A146" s="67"/>
      <c r="B146" s="1007" t="s">
        <v>227</v>
      </c>
      <c r="C146" s="1008"/>
      <c r="D146" s="998" t="s">
        <v>988</v>
      </c>
      <c r="E146" s="239"/>
      <c r="F146" s="213"/>
      <c r="G146" s="213"/>
      <c r="H146" s="213"/>
      <c r="I146" s="217"/>
      <c r="J146" s="240"/>
      <c r="K146" s="241"/>
      <c r="L146" s="241"/>
      <c r="M146" s="213"/>
      <c r="N146" s="67" t="s">
        <v>157</v>
      </c>
      <c r="Q146" s="306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</row>
    <row r="147" spans="1:35" ht="13" thickBot="1" x14ac:dyDescent="0.3">
      <c r="A147" s="67"/>
      <c r="B147" s="1014" t="s">
        <v>1033</v>
      </c>
      <c r="C147" s="1015"/>
      <c r="D147" s="999"/>
      <c r="E147" s="239"/>
      <c r="F147" s="213"/>
      <c r="G147" s="213"/>
      <c r="H147" s="213"/>
      <c r="I147" s="217">
        <v>61132000</v>
      </c>
      <c r="J147" s="240"/>
      <c r="K147" s="241"/>
      <c r="L147" s="241"/>
      <c r="M147" s="731">
        <f>SUM(E147:L147)</f>
        <v>61132000</v>
      </c>
      <c r="N147" s="67" t="s">
        <v>158</v>
      </c>
      <c r="Q147" s="306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</row>
    <row r="148" spans="1:35" x14ac:dyDescent="0.25">
      <c r="A148" s="67"/>
      <c r="B148" s="1007" t="s">
        <v>228</v>
      </c>
      <c r="C148" s="1008"/>
      <c r="D148" s="998" t="s">
        <v>79</v>
      </c>
      <c r="E148" s="220"/>
      <c r="F148" s="211"/>
      <c r="G148" s="211"/>
      <c r="H148" s="211"/>
      <c r="I148" s="216">
        <v>2100000</v>
      </c>
      <c r="J148" s="292"/>
      <c r="K148" s="293"/>
      <c r="L148" s="293"/>
      <c r="M148" s="211">
        <f t="shared" si="15"/>
        <v>2100000</v>
      </c>
      <c r="N148" s="67" t="s">
        <v>157</v>
      </c>
      <c r="O148" s="394">
        <f>M148+M145+M144+M141+M140+M152</f>
        <v>90982000</v>
      </c>
      <c r="P148" s="391"/>
      <c r="Q148" s="306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</row>
    <row r="149" spans="1:35" ht="13" thickBot="1" x14ac:dyDescent="0.3">
      <c r="A149" s="67"/>
      <c r="B149" s="1009" t="s">
        <v>1034</v>
      </c>
      <c r="C149" s="1010"/>
      <c r="D149" s="999"/>
      <c r="E149" s="226"/>
      <c r="F149" s="226"/>
      <c r="G149" s="226"/>
      <c r="H149" s="226"/>
      <c r="I149" s="219"/>
      <c r="J149" s="243"/>
      <c r="K149" s="244"/>
      <c r="L149" s="244"/>
      <c r="M149" s="226">
        <f>E149+F149+G149+H149+I149+J149+K149</f>
        <v>0</v>
      </c>
      <c r="N149" s="67" t="s">
        <v>158</v>
      </c>
      <c r="Q149" s="306"/>
      <c r="R149" s="8"/>
      <c r="S149" s="8"/>
      <c r="T149" s="8"/>
      <c r="U149" s="8"/>
      <c r="V149" s="8"/>
      <c r="W149" s="87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</row>
    <row r="150" spans="1:35" x14ac:dyDescent="0.25">
      <c r="A150" s="67"/>
      <c r="B150" s="1007" t="s">
        <v>228</v>
      </c>
      <c r="C150" s="1008"/>
      <c r="D150" s="998" t="s">
        <v>988</v>
      </c>
      <c r="E150" s="213"/>
      <c r="F150" s="213"/>
      <c r="G150" s="213"/>
      <c r="H150" s="213"/>
      <c r="I150" s="217">
        <v>2100000</v>
      </c>
      <c r="J150" s="240"/>
      <c r="K150" s="241"/>
      <c r="L150" s="241"/>
      <c r="M150" s="213">
        <f>SUM(E150:L150)</f>
        <v>2100000</v>
      </c>
      <c r="N150" s="67" t="s">
        <v>157</v>
      </c>
      <c r="Q150" s="306"/>
      <c r="R150" s="8"/>
      <c r="S150" s="8"/>
      <c r="T150" s="8"/>
      <c r="U150" s="8"/>
      <c r="V150" s="8"/>
      <c r="W150" s="87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</row>
    <row r="151" spans="1:35" ht="13" thickBot="1" x14ac:dyDescent="0.3">
      <c r="A151" s="67"/>
      <c r="B151" s="1009" t="s">
        <v>1034</v>
      </c>
      <c r="C151" s="1010"/>
      <c r="D151" s="999"/>
      <c r="E151" s="213"/>
      <c r="F151" s="213"/>
      <c r="G151" s="213"/>
      <c r="H151" s="213"/>
      <c r="I151" s="217"/>
      <c r="J151" s="240"/>
      <c r="K151" s="241"/>
      <c r="L151" s="241"/>
      <c r="M151" s="213"/>
      <c r="N151" s="67" t="s">
        <v>158</v>
      </c>
      <c r="Q151" s="306"/>
      <c r="R151" s="8"/>
      <c r="S151" s="8"/>
      <c r="T151" s="8"/>
      <c r="U151" s="8"/>
      <c r="V151" s="8"/>
      <c r="W151" s="87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</row>
    <row r="152" spans="1:35" x14ac:dyDescent="0.25">
      <c r="A152" s="67"/>
      <c r="B152" s="1007" t="s">
        <v>229</v>
      </c>
      <c r="C152" s="1008"/>
      <c r="D152" s="998" t="s">
        <v>79</v>
      </c>
      <c r="E152" s="220"/>
      <c r="F152" s="211"/>
      <c r="G152" s="211"/>
      <c r="H152" s="211"/>
      <c r="I152" s="216">
        <v>6250000</v>
      </c>
      <c r="J152" s="292"/>
      <c r="K152" s="293"/>
      <c r="L152" s="292"/>
      <c r="M152" s="211">
        <f t="shared" si="15"/>
        <v>6250000</v>
      </c>
      <c r="N152" s="67" t="s">
        <v>157</v>
      </c>
      <c r="O152" s="394">
        <f>M152+M148+M140</f>
        <v>29850000</v>
      </c>
      <c r="P152" s="390" t="s">
        <v>751</v>
      </c>
      <c r="Q152" s="306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</row>
    <row r="153" spans="1:35" ht="13" thickBot="1" x14ac:dyDescent="0.3">
      <c r="A153" s="67"/>
      <c r="B153" s="1011" t="s">
        <v>1035</v>
      </c>
      <c r="C153" s="1012"/>
      <c r="D153" s="999"/>
      <c r="E153" s="239"/>
      <c r="F153" s="213"/>
      <c r="G153" s="213"/>
      <c r="H153" s="213"/>
      <c r="I153" s="217"/>
      <c r="J153" s="240"/>
      <c r="K153" s="241"/>
      <c r="L153" s="240"/>
      <c r="M153" s="212">
        <f>E153+F153+G153+H153+I153+J153+K153</f>
        <v>0</v>
      </c>
      <c r="N153" s="67" t="s">
        <v>158</v>
      </c>
      <c r="Q153" s="306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</row>
    <row r="154" spans="1:35" x14ac:dyDescent="0.25">
      <c r="A154" s="67"/>
      <c r="B154" s="1007" t="s">
        <v>229</v>
      </c>
      <c r="C154" s="1008"/>
      <c r="D154" s="998" t="s">
        <v>988</v>
      </c>
      <c r="E154" s="220"/>
      <c r="F154" s="211"/>
      <c r="G154" s="211"/>
      <c r="H154" s="211"/>
      <c r="I154" s="216">
        <v>6250000</v>
      </c>
      <c r="J154" s="292"/>
      <c r="K154" s="293"/>
      <c r="L154" s="292"/>
      <c r="M154" s="210">
        <f>SUM(E154:L154)</f>
        <v>6250000</v>
      </c>
      <c r="N154" s="67" t="s">
        <v>157</v>
      </c>
      <c r="Q154" s="306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</row>
    <row r="155" spans="1:35" ht="13" thickBot="1" x14ac:dyDescent="0.3">
      <c r="A155" s="67"/>
      <c r="B155" s="1011" t="s">
        <v>1035</v>
      </c>
      <c r="C155" s="1012"/>
      <c r="D155" s="999"/>
      <c r="E155" s="239"/>
      <c r="F155" s="213"/>
      <c r="G155" s="213"/>
      <c r="H155" s="213"/>
      <c r="I155" s="217"/>
      <c r="J155" s="240"/>
      <c r="K155" s="241"/>
      <c r="L155" s="240"/>
      <c r="M155" s="212"/>
      <c r="N155" s="67" t="s">
        <v>158</v>
      </c>
      <c r="Q155" s="306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</row>
    <row r="156" spans="1:35" x14ac:dyDescent="0.25">
      <c r="A156" s="67"/>
      <c r="B156" s="959" t="s">
        <v>1036</v>
      </c>
      <c r="C156" s="960"/>
      <c r="D156" s="998" t="s">
        <v>79</v>
      </c>
      <c r="E156" s="220"/>
      <c r="F156" s="211"/>
      <c r="G156" s="211">
        <v>5074920</v>
      </c>
      <c r="H156" s="211"/>
      <c r="I156" s="216"/>
      <c r="J156" s="211"/>
      <c r="K156" s="214"/>
      <c r="L156" s="211"/>
      <c r="M156" s="211">
        <f t="shared" si="15"/>
        <v>5074920</v>
      </c>
      <c r="N156" s="67" t="s">
        <v>157</v>
      </c>
      <c r="P156" s="391"/>
      <c r="Q156" s="306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</row>
    <row r="157" spans="1:35" ht="16" customHeight="1" x14ac:dyDescent="0.25">
      <c r="A157" s="67"/>
      <c r="B157" s="1004"/>
      <c r="C157" s="1005"/>
      <c r="D157" s="1006"/>
      <c r="E157" s="213"/>
      <c r="F157" s="213"/>
      <c r="G157" s="213"/>
      <c r="H157" s="213"/>
      <c r="I157" s="217">
        <v>612238000</v>
      </c>
      <c r="J157" s="213"/>
      <c r="K157" s="215"/>
      <c r="L157" s="213"/>
      <c r="M157" s="212">
        <f>E157+F157+G157+H157+I157+J157+K157</f>
        <v>612238000</v>
      </c>
      <c r="N157" s="67" t="s">
        <v>158</v>
      </c>
      <c r="O157" s="394" t="s">
        <v>960</v>
      </c>
      <c r="P157" s="391" t="s">
        <v>751</v>
      </c>
      <c r="Q157" s="306"/>
      <c r="R157" s="87"/>
      <c r="S157" s="87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</row>
    <row r="158" spans="1:35" ht="26" customHeight="1" thickBot="1" x14ac:dyDescent="0.3">
      <c r="A158" s="67"/>
      <c r="B158" s="961" t="s">
        <v>438</v>
      </c>
      <c r="C158" s="962"/>
      <c r="D158" s="999"/>
      <c r="E158" s="239"/>
      <c r="F158" s="213"/>
      <c r="G158" s="213"/>
      <c r="H158" s="213"/>
      <c r="I158" s="217"/>
      <c r="J158" s="213"/>
      <c r="K158" s="215"/>
      <c r="L158" s="215"/>
      <c r="M158" s="213"/>
      <c r="N158" s="67"/>
      <c r="O158" s="394"/>
      <c r="Q158" s="306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</row>
    <row r="159" spans="1:35" ht="26" customHeight="1" x14ac:dyDescent="0.25">
      <c r="A159" s="67"/>
      <c r="B159" s="959" t="s">
        <v>1036</v>
      </c>
      <c r="C159" s="960"/>
      <c r="D159" s="998" t="s">
        <v>988</v>
      </c>
      <c r="E159" s="220"/>
      <c r="F159" s="211"/>
      <c r="G159" s="211">
        <v>5074920</v>
      </c>
      <c r="H159" s="211"/>
      <c r="I159" s="216"/>
      <c r="J159" s="211"/>
      <c r="K159" s="214"/>
      <c r="L159" s="214"/>
      <c r="M159" s="211">
        <f>SUM(E159:L159)</f>
        <v>5074920</v>
      </c>
      <c r="N159" s="67" t="s">
        <v>157</v>
      </c>
      <c r="O159" s="394"/>
      <c r="Q159" s="306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</row>
    <row r="160" spans="1:35" ht="27" customHeight="1" thickBot="1" x14ac:dyDescent="0.3">
      <c r="A160" s="67"/>
      <c r="B160" s="961" t="s">
        <v>438</v>
      </c>
      <c r="C160" s="962"/>
      <c r="D160" s="999"/>
      <c r="E160" s="746"/>
      <c r="F160" s="731"/>
      <c r="G160" s="731"/>
      <c r="H160" s="731"/>
      <c r="I160" s="742">
        <v>612238000</v>
      </c>
      <c r="J160" s="731"/>
      <c r="K160" s="743"/>
      <c r="L160" s="743"/>
      <c r="M160" s="731">
        <f>SUM(E160:L160)</f>
        <v>612238000</v>
      </c>
      <c r="N160" s="67" t="s">
        <v>158</v>
      </c>
      <c r="O160" s="394"/>
      <c r="Q160" s="306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</row>
    <row r="161" spans="1:35" ht="21.75" customHeight="1" x14ac:dyDescent="0.25">
      <c r="A161" s="67"/>
      <c r="B161" s="959" t="s">
        <v>230</v>
      </c>
      <c r="C161" s="960"/>
      <c r="D161" s="998" t="s">
        <v>79</v>
      </c>
      <c r="E161" s="220"/>
      <c r="F161" s="211"/>
      <c r="G161" s="211"/>
      <c r="H161" s="211"/>
      <c r="I161" s="216">
        <v>206600000</v>
      </c>
      <c r="J161" s="211"/>
      <c r="K161" s="214"/>
      <c r="L161" s="214"/>
      <c r="M161" s="211">
        <f>E161+F161+G161+H161+I161+J161+K161</f>
        <v>206600000</v>
      </c>
      <c r="N161" s="67" t="s">
        <v>157</v>
      </c>
      <c r="Q161" s="306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</row>
    <row r="162" spans="1:35" ht="13" thickBot="1" x14ac:dyDescent="0.3">
      <c r="A162" s="67"/>
      <c r="B162" s="1000" t="s">
        <v>1037</v>
      </c>
      <c r="C162" s="1001"/>
      <c r="D162" s="999"/>
      <c r="E162" s="239"/>
      <c r="F162" s="213"/>
      <c r="G162" s="213"/>
      <c r="H162" s="213"/>
      <c r="I162" s="217"/>
      <c r="J162" s="213"/>
      <c r="K162" s="215"/>
      <c r="L162" s="215"/>
      <c r="M162" s="213">
        <f>E162+F162+G162+H162+I162+J162+K162</f>
        <v>0</v>
      </c>
      <c r="N162" s="67" t="s">
        <v>158</v>
      </c>
      <c r="O162" s="394"/>
      <c r="Q162" s="306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</row>
    <row r="163" spans="1:35" ht="21.5" customHeight="1" x14ac:dyDescent="0.25">
      <c r="A163" s="67"/>
      <c r="B163" s="959" t="s">
        <v>230</v>
      </c>
      <c r="C163" s="960"/>
      <c r="D163" s="998" t="s">
        <v>988</v>
      </c>
      <c r="E163" s="220"/>
      <c r="F163" s="211"/>
      <c r="G163" s="211"/>
      <c r="H163" s="211"/>
      <c r="I163" s="216">
        <v>206600000</v>
      </c>
      <c r="J163" s="211"/>
      <c r="K163" s="214"/>
      <c r="L163" s="214"/>
      <c r="M163" s="211">
        <f>SUM(E163:L163)</f>
        <v>206600000</v>
      </c>
      <c r="N163" s="67" t="s">
        <v>157</v>
      </c>
      <c r="O163" s="394"/>
      <c r="Q163" s="306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</row>
    <row r="164" spans="1:35" ht="13" thickBot="1" x14ac:dyDescent="0.3">
      <c r="A164" s="67"/>
      <c r="B164" s="1000" t="s">
        <v>1037</v>
      </c>
      <c r="C164" s="1001"/>
      <c r="D164" s="999"/>
      <c r="E164" s="746"/>
      <c r="F164" s="731"/>
      <c r="G164" s="731"/>
      <c r="H164" s="731"/>
      <c r="I164" s="742"/>
      <c r="J164" s="731"/>
      <c r="K164" s="743"/>
      <c r="L164" s="743"/>
      <c r="M164" s="731"/>
      <c r="N164" s="67" t="s">
        <v>158</v>
      </c>
      <c r="O164" s="394"/>
      <c r="Q164" s="306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</row>
    <row r="165" spans="1:35" ht="32" customHeight="1" x14ac:dyDescent="0.25">
      <c r="A165" s="67"/>
      <c r="B165" s="959" t="s">
        <v>687</v>
      </c>
      <c r="C165" s="960"/>
      <c r="D165" s="998" t="s">
        <v>79</v>
      </c>
      <c r="E165" s="220"/>
      <c r="F165" s="211"/>
      <c r="G165" s="211"/>
      <c r="H165" s="211"/>
      <c r="I165" s="216">
        <v>113870000</v>
      </c>
      <c r="J165" s="211"/>
      <c r="K165" s="214">
        <f>'[2]Közművelődés és sport'!$G$131</f>
        <v>0</v>
      </c>
      <c r="L165" s="211"/>
      <c r="M165" s="211">
        <f>E165+F165+G165+H165+I165+J165+K165</f>
        <v>113870000</v>
      </c>
      <c r="N165" s="67" t="s">
        <v>157</v>
      </c>
      <c r="O165" s="592">
        <f>I165+I161</f>
        <v>320470000</v>
      </c>
      <c r="P165" s="391"/>
      <c r="Q165" s="306"/>
      <c r="R165" s="8"/>
      <c r="S165" s="8"/>
      <c r="T165" s="8"/>
      <c r="U165" s="8"/>
      <c r="V165" s="8"/>
      <c r="W165" s="87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</row>
    <row r="166" spans="1:35" ht="22.5" customHeight="1" thickBot="1" x14ac:dyDescent="0.3">
      <c r="A166" s="67"/>
      <c r="B166" s="1002" t="s">
        <v>658</v>
      </c>
      <c r="C166" s="1003"/>
      <c r="D166" s="999"/>
      <c r="E166" s="239"/>
      <c r="F166" s="213"/>
      <c r="G166" s="213"/>
      <c r="H166" s="213"/>
      <c r="I166" s="217"/>
      <c r="J166" s="213"/>
      <c r="K166" s="215"/>
      <c r="L166" s="213"/>
      <c r="M166" s="212">
        <f>E166+F166+G166+H166+I166+J166+K166</f>
        <v>0</v>
      </c>
      <c r="N166" s="67" t="s">
        <v>158</v>
      </c>
      <c r="O166" s="394">
        <f>M165+M161</f>
        <v>320470000</v>
      </c>
      <c r="Q166" s="306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</row>
    <row r="167" spans="1:35" ht="32.5" customHeight="1" x14ac:dyDescent="0.25">
      <c r="A167" s="67"/>
      <c r="B167" s="959" t="s">
        <v>687</v>
      </c>
      <c r="C167" s="960"/>
      <c r="D167" s="998" t="s">
        <v>988</v>
      </c>
      <c r="E167" s="220"/>
      <c r="F167" s="211"/>
      <c r="G167" s="211"/>
      <c r="H167" s="211"/>
      <c r="I167" s="216">
        <v>113870000</v>
      </c>
      <c r="J167" s="211"/>
      <c r="K167" s="214"/>
      <c r="L167" s="211"/>
      <c r="M167" s="210">
        <f>SUM(E167:L167)</f>
        <v>113870000</v>
      </c>
      <c r="N167" s="67" t="s">
        <v>157</v>
      </c>
      <c r="O167" s="394"/>
      <c r="Q167" s="306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</row>
    <row r="168" spans="1:35" ht="26.5" customHeight="1" thickBot="1" x14ac:dyDescent="0.3">
      <c r="A168" s="67"/>
      <c r="B168" s="1002" t="s">
        <v>658</v>
      </c>
      <c r="C168" s="1003"/>
      <c r="D168" s="999"/>
      <c r="E168" s="239"/>
      <c r="F168" s="213"/>
      <c r="G168" s="213"/>
      <c r="H168" s="213"/>
      <c r="I168" s="217"/>
      <c r="J168" s="213"/>
      <c r="K168" s="215"/>
      <c r="L168" s="213"/>
      <c r="M168" s="212"/>
      <c r="N168" s="67" t="s">
        <v>158</v>
      </c>
      <c r="O168" s="394"/>
      <c r="Q168" s="306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</row>
    <row r="169" spans="1:35" ht="13" x14ac:dyDescent="0.3">
      <c r="A169" s="67"/>
      <c r="B169" s="996" t="s">
        <v>59</v>
      </c>
      <c r="C169" s="997"/>
      <c r="D169" s="280" t="s">
        <v>79</v>
      </c>
      <c r="E169" s="187">
        <f>E52+E53+E56+E57+E60+E61+E64+E65+E68+E69+E73+E74+E78+E79+E82+E83+E86+E87+E90+E91+E95+E96+E100+E101+E105+E108+E109+E112+E113+E116+E117+E120+E121+E124+E125+E128+E129+E132+E133+E136+E137+E140+E141+E144+E145+E148+E149+E152+E153+E157+E156+E161+E162+E165+E166-1</f>
        <v>221391393</v>
      </c>
      <c r="F169" s="187">
        <f t="shared" ref="F169:M169" si="16">F52+F53+F56+F57+F60+F61+F64+F65+F68+F69+F73+F74+F78+F79+F82+F83+F86+F87+F90+F91+F95+F96+F100+F101+F105+F108+F109+F112+F113+F116+F117+F120+F121+F124+F125+F128+F129+F132+F133+F136+F137+F140+F141+F144+F145+F148+F149+F152+F153+F157+F156+F161+F162+F165+F166</f>
        <v>31823075</v>
      </c>
      <c r="G169" s="187">
        <f>G52+G53+G56+G57+G60+G61+G64+G65+G68+G69+G73+G74+G78+G79+G82+G83+G86+G87+G90+G91+G95+G96+G100+G101+G105+G108+G109+G112+G113+G116+G117+G120+G121+G124+G125+G128+G129+G132+G133+G136+G137+G140+G141+G144+G145+G148+G149+G152+G153+G157+G156+G161+G162+G165+G166+1</f>
        <v>2261796929</v>
      </c>
      <c r="H169" s="187">
        <f t="shared" si="16"/>
        <v>2562990897</v>
      </c>
      <c r="I169" s="187">
        <f t="shared" si="16"/>
        <v>1247270775</v>
      </c>
      <c r="J169" s="187">
        <f t="shared" si="16"/>
        <v>51900000</v>
      </c>
      <c r="K169" s="187">
        <f t="shared" si="16"/>
        <v>302970855</v>
      </c>
      <c r="L169" s="187">
        <f t="shared" si="16"/>
        <v>132053794</v>
      </c>
      <c r="M169" s="187">
        <f t="shared" si="16"/>
        <v>6812197718</v>
      </c>
      <c r="N169" s="288"/>
      <c r="O169" s="394">
        <f>SUM(E169:L169)</f>
        <v>6812197718</v>
      </c>
      <c r="P169" s="391">
        <f>SUM(M52:M166)</f>
        <v>13555189141</v>
      </c>
      <c r="Q169" s="87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</row>
    <row r="170" spans="1:35" ht="13" x14ac:dyDescent="0.3">
      <c r="A170" s="67"/>
      <c r="B170" s="991" t="s">
        <v>164</v>
      </c>
      <c r="C170" s="992"/>
      <c r="D170" s="182"/>
      <c r="E170" s="622">
        <f>E169-E171</f>
        <v>192937547</v>
      </c>
      <c r="F170" s="622">
        <f t="shared" ref="F170:M170" si="17">F169-F171</f>
        <v>23507894</v>
      </c>
      <c r="G170" s="622">
        <f t="shared" si="17"/>
        <v>2000071388</v>
      </c>
      <c r="H170" s="622">
        <f t="shared" si="17"/>
        <v>2552025897</v>
      </c>
      <c r="I170" s="622">
        <f t="shared" si="17"/>
        <v>775925000</v>
      </c>
      <c r="J170" s="622">
        <f t="shared" si="17"/>
        <v>51900000</v>
      </c>
      <c r="K170" s="622">
        <f t="shared" si="17"/>
        <v>298970855</v>
      </c>
      <c r="L170" s="622">
        <f t="shared" si="17"/>
        <v>132053794</v>
      </c>
      <c r="M170" s="622">
        <f t="shared" si="17"/>
        <v>6027392376</v>
      </c>
      <c r="N170" s="288"/>
      <c r="O170" s="394"/>
      <c r="P170" s="391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</row>
    <row r="171" spans="1:35" ht="13" x14ac:dyDescent="0.3">
      <c r="A171" s="67"/>
      <c r="B171" s="991" t="s">
        <v>165</v>
      </c>
      <c r="C171" s="992"/>
      <c r="D171" s="182"/>
      <c r="E171" s="622">
        <f>E165+E161+E156+E152+E148+E144+E140+E136+E132+E128+E124+E120+E116+E112+E108+E104+E100+E95+E90+E86+E82+E78+E73+E68+E64+E60+E56+E52</f>
        <v>28453846</v>
      </c>
      <c r="F171" s="622">
        <f t="shared" ref="F171:M171" si="18">F165+F161+F156+F152+F148+F144+F140+F136+F132+F128+F124+F120+F116+F112+F108+F104+F100+F95+F90+F86+F82+F78+F73+F68+F64+F60+F56+F52</f>
        <v>8315181</v>
      </c>
      <c r="G171" s="622">
        <f>G165+G161+G156+G152+G148+G144+G140+G136+G132+G128+G124+G120+G116+G112+G108+G104+G100+G95+G90+G86+G82+G78+G73+G68+G64+G60+G56+G52+1</f>
        <v>261725541</v>
      </c>
      <c r="H171" s="622">
        <f t="shared" si="18"/>
        <v>10965000</v>
      </c>
      <c r="I171" s="622">
        <f t="shared" si="18"/>
        <v>471345775</v>
      </c>
      <c r="J171" s="622">
        <f t="shared" si="18"/>
        <v>0</v>
      </c>
      <c r="K171" s="622">
        <f t="shared" si="18"/>
        <v>4000000</v>
      </c>
      <c r="L171" s="622">
        <f t="shared" si="18"/>
        <v>0</v>
      </c>
      <c r="M171" s="622">
        <f t="shared" si="18"/>
        <v>784805342</v>
      </c>
      <c r="N171" s="288"/>
      <c r="O171" s="394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</row>
    <row r="172" spans="1:35" ht="13.5" thickBot="1" x14ac:dyDescent="0.35">
      <c r="A172" s="67"/>
      <c r="B172" s="993" t="s">
        <v>166</v>
      </c>
      <c r="C172" s="994"/>
      <c r="D172" s="995"/>
      <c r="E172" s="623">
        <v>0</v>
      </c>
      <c r="F172" s="623">
        <v>0</v>
      </c>
      <c r="G172" s="623">
        <v>0</v>
      </c>
      <c r="H172" s="623">
        <v>0</v>
      </c>
      <c r="I172" s="623">
        <v>0</v>
      </c>
      <c r="J172" s="623">
        <v>0</v>
      </c>
      <c r="K172" s="623">
        <v>0</v>
      </c>
      <c r="L172" s="623">
        <v>0</v>
      </c>
      <c r="M172" s="623">
        <v>0</v>
      </c>
      <c r="N172" s="288"/>
      <c r="O172" s="394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</row>
    <row r="173" spans="1:35" ht="13" x14ac:dyDescent="0.3">
      <c r="A173" s="67"/>
      <c r="B173" s="996" t="s">
        <v>59</v>
      </c>
      <c r="C173" s="997"/>
      <c r="D173" s="584" t="s">
        <v>988</v>
      </c>
      <c r="E173" s="187">
        <f>E54+E55+E58+E59+E62+E63+E66+E67+E70+E71+E75+E76+E80+E81+E84+E85+E88+E89+E92+E93+E97+E98+E102+E103+E106+E107+E110+E111+E114+E115+E118+E119+E122+E123+E126+E127+E130+E131+E134+E135+E138+E139+E142+E143+E146+E147+E150+E151+E154+E155+E159+E160+E163+E164+E167+E168</f>
        <v>249601361</v>
      </c>
      <c r="F173" s="187">
        <f t="shared" ref="F173:L173" si="19">F54+F55+F58+F59+F62+F63+F66+F67+F70+F71+F75+F76+F80+F81+F84+F85+F88+F89+F92+F93+F97+F98+F102+F103+F106+F107+F110+F111+F114+F115+F118+F119+F122+F123+F126+F127+F130+F131+F134+F135+F138+F139+F142+F143+F146+F147+F150+F151+F154+F155+F159+F160+F163+F164+F167+F168</f>
        <v>35495794</v>
      </c>
      <c r="G173" s="187">
        <f>G54+G55+G58+G59+G62+G63+G66+G67+G70+G71+G75+G76+G80+G81+G84+G85+G88+G89+G92+G93+G97+G98+G102+G103+G106+G107+G110+G111+G114+G115+G118+G119+G122+G123+G126+G127+G130+G131+G134+G135+G138+G139+G142+G143+G146+G147+G150+G151+G154+G155+G159+G160+G163+G164+G167+G168-1</f>
        <v>2299998889</v>
      </c>
      <c r="H173" s="187">
        <f t="shared" si="19"/>
        <v>2755069366</v>
      </c>
      <c r="I173" s="187">
        <f t="shared" si="19"/>
        <v>1242868849</v>
      </c>
      <c r="J173" s="187">
        <f t="shared" si="19"/>
        <v>51900000</v>
      </c>
      <c r="K173" s="187">
        <f t="shared" si="19"/>
        <v>89520811</v>
      </c>
      <c r="L173" s="187">
        <f t="shared" si="19"/>
        <v>132406352</v>
      </c>
      <c r="M173" s="187">
        <f>M54+M55+M58+M59+M62+M63+M66+M67+M70+M71+M75+M76+M80+M81+M84+M85+M88+M89+M92+M93+M97+M98+M102+M103+M106+M107+M110+M111+M114+M115+M118+M119+M122+M123+M126+M127+M130+M131+M134+M135+M138+M139+M142+M143+M146+M147+M150+M151+M154+M155+M159+M160+M163+M164+M167+M168-1</f>
        <v>6856861422</v>
      </c>
      <c r="N173" s="288"/>
      <c r="O173" s="394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</row>
    <row r="174" spans="1:35" ht="13" x14ac:dyDescent="0.3">
      <c r="A174" s="67"/>
      <c r="B174" s="991" t="s">
        <v>164</v>
      </c>
      <c r="C174" s="992"/>
      <c r="D174" s="182"/>
      <c r="E174" s="622">
        <f>E173-E175</f>
        <v>220858461</v>
      </c>
      <c r="F174" s="622">
        <f t="shared" ref="F174:M174" si="20">F173-F175</f>
        <v>27186613</v>
      </c>
      <c r="G174" s="622">
        <f t="shared" si="20"/>
        <v>2039606403</v>
      </c>
      <c r="H174" s="622">
        <f t="shared" si="20"/>
        <v>2743904366</v>
      </c>
      <c r="I174" s="622">
        <f t="shared" si="20"/>
        <v>775925000</v>
      </c>
      <c r="J174" s="622">
        <f t="shared" si="20"/>
        <v>51900000</v>
      </c>
      <c r="K174" s="622">
        <f t="shared" si="20"/>
        <v>85520811</v>
      </c>
      <c r="L174" s="622">
        <f t="shared" si="20"/>
        <v>132406352</v>
      </c>
      <c r="M174" s="622">
        <f t="shared" si="20"/>
        <v>6077308006</v>
      </c>
      <c r="N174" s="288"/>
      <c r="O174" s="394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</row>
    <row r="175" spans="1:35" ht="13" x14ac:dyDescent="0.3">
      <c r="A175" s="67"/>
      <c r="B175" s="991" t="s">
        <v>165</v>
      </c>
      <c r="C175" s="992"/>
      <c r="D175" s="182"/>
      <c r="E175" s="622">
        <f>E54+E58+E62+E66+E70+E75+E80+E84+E88+E92+E97+E102+E106+E110+E114+E118+E122+E126+E130+E134+E138+E142+E146+E150+E154+E159+E163+E167</f>
        <v>28742900</v>
      </c>
      <c r="F175" s="622">
        <f t="shared" ref="F175:M175" si="21">F54+F58+F62+F66+F70+F75+F80+F84+F88+F92+F97+F102+F106+F110+F114+F118+F122+F126+F130+F134+F138+F142+F146+F150+F154+F159+F163+F167</f>
        <v>8309181</v>
      </c>
      <c r="G175" s="622">
        <f t="shared" si="21"/>
        <v>260392486</v>
      </c>
      <c r="H175" s="622">
        <f t="shared" si="21"/>
        <v>11165000</v>
      </c>
      <c r="I175" s="622">
        <f t="shared" si="21"/>
        <v>466943849</v>
      </c>
      <c r="J175" s="622">
        <f t="shared" si="21"/>
        <v>0</v>
      </c>
      <c r="K175" s="622">
        <f t="shared" si="21"/>
        <v>4000000</v>
      </c>
      <c r="L175" s="622">
        <f t="shared" si="21"/>
        <v>0</v>
      </c>
      <c r="M175" s="622">
        <f t="shared" si="21"/>
        <v>779553416</v>
      </c>
      <c r="N175" s="288"/>
      <c r="O175" s="394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</row>
    <row r="176" spans="1:35" ht="13.5" thickBot="1" x14ac:dyDescent="0.35">
      <c r="A176" s="67"/>
      <c r="B176" s="993" t="s">
        <v>166</v>
      </c>
      <c r="C176" s="994"/>
      <c r="D176" s="995"/>
      <c r="E176" s="725">
        <v>0</v>
      </c>
      <c r="F176" s="725">
        <v>0</v>
      </c>
      <c r="G176" s="725">
        <v>0</v>
      </c>
      <c r="H176" s="725">
        <v>0</v>
      </c>
      <c r="I176" s="725">
        <v>0</v>
      </c>
      <c r="J176" s="725">
        <v>0</v>
      </c>
      <c r="K176" s="725">
        <v>0</v>
      </c>
      <c r="L176" s="725">
        <v>0</v>
      </c>
      <c r="M176" s="725">
        <v>0</v>
      </c>
      <c r="N176" s="288"/>
      <c r="O176" s="394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</row>
    <row r="177" spans="1:35" s="390" customFormat="1" x14ac:dyDescent="0.25">
      <c r="A177" s="392"/>
      <c r="E177" s="390" t="s">
        <v>751</v>
      </c>
      <c r="F177" s="390" t="s">
        <v>751</v>
      </c>
      <c r="G177" s="390" t="s">
        <v>751</v>
      </c>
      <c r="H177" s="390" t="s">
        <v>751</v>
      </c>
      <c r="I177" s="390" t="s">
        <v>751</v>
      </c>
      <c r="J177" s="390" t="s">
        <v>751</v>
      </c>
      <c r="K177" s="390" t="s">
        <v>751</v>
      </c>
      <c r="L177" s="390" t="s">
        <v>751</v>
      </c>
      <c r="N177" s="392"/>
      <c r="O177" s="392"/>
    </row>
    <row r="178" spans="1:35" ht="13" x14ac:dyDescent="0.3">
      <c r="A178" s="67"/>
      <c r="B178" s="3" t="s">
        <v>324</v>
      </c>
      <c r="C178" s="3"/>
      <c r="D178" s="3"/>
      <c r="E178" s="3"/>
      <c r="F178" s="3"/>
      <c r="G178" s="3"/>
      <c r="H178" s="433"/>
      <c r="I178" s="3"/>
      <c r="J178" s="3"/>
      <c r="K178" s="275" t="s">
        <v>787</v>
      </c>
      <c r="L178" s="3"/>
      <c r="M178" s="3" t="s">
        <v>708</v>
      </c>
      <c r="N178" s="67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</row>
    <row r="179" spans="1:35" ht="13.5" thickBot="1" x14ac:dyDescent="0.35">
      <c r="A179" s="67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3" t="s">
        <v>468</v>
      </c>
      <c r="M179" s="8"/>
      <c r="N179" s="67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</row>
    <row r="180" spans="1:35" ht="12.75" customHeight="1" x14ac:dyDescent="0.25">
      <c r="A180" s="67"/>
      <c r="B180" s="930" t="s">
        <v>231</v>
      </c>
      <c r="C180" s="931"/>
      <c r="D180" s="932"/>
      <c r="E180" s="924" t="s">
        <v>216</v>
      </c>
      <c r="F180" s="922" t="s">
        <v>217</v>
      </c>
      <c r="G180" s="922" t="s">
        <v>218</v>
      </c>
      <c r="H180" s="922" t="s">
        <v>500</v>
      </c>
      <c r="I180" s="922" t="s">
        <v>259</v>
      </c>
      <c r="J180" s="922" t="s">
        <v>256</v>
      </c>
      <c r="K180" s="922" t="s">
        <v>260</v>
      </c>
      <c r="L180" s="922" t="s">
        <v>224</v>
      </c>
      <c r="M180" s="928" t="s">
        <v>49</v>
      </c>
      <c r="N180" s="67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</row>
    <row r="181" spans="1:35" x14ac:dyDescent="0.25">
      <c r="A181" s="67"/>
      <c r="B181" s="933"/>
      <c r="C181" s="934"/>
      <c r="D181" s="935"/>
      <c r="E181" s="925"/>
      <c r="F181" s="923"/>
      <c r="G181" s="923"/>
      <c r="H181" s="927"/>
      <c r="I181" s="927"/>
      <c r="J181" s="927"/>
      <c r="K181" s="927"/>
      <c r="L181" s="927"/>
      <c r="M181" s="929"/>
      <c r="N181" s="67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</row>
    <row r="182" spans="1:35" ht="53" customHeight="1" thickBot="1" x14ac:dyDescent="0.3">
      <c r="A182" s="67"/>
      <c r="B182" s="1084"/>
      <c r="C182" s="1085"/>
      <c r="D182" s="1086"/>
      <c r="E182" s="1087"/>
      <c r="F182" s="954"/>
      <c r="G182" s="954"/>
      <c r="H182" s="1088"/>
      <c r="I182" s="1088"/>
      <c r="J182" s="1088"/>
      <c r="K182" s="1088"/>
      <c r="L182" s="1088"/>
      <c r="M182" s="929"/>
      <c r="N182" s="67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</row>
    <row r="183" spans="1:35" x14ac:dyDescent="0.25">
      <c r="A183" s="67"/>
      <c r="B183" s="1029" t="s">
        <v>1021</v>
      </c>
      <c r="C183" s="1030"/>
      <c r="D183" s="1046" t="s">
        <v>79</v>
      </c>
      <c r="E183" s="211">
        <v>605709868</v>
      </c>
      <c r="F183" s="211">
        <v>92149285</v>
      </c>
      <c r="G183" s="211">
        <v>163022323</v>
      </c>
      <c r="H183" s="211">
        <v>5000000</v>
      </c>
      <c r="I183" s="211">
        <v>0</v>
      </c>
      <c r="J183" s="211">
        <v>0</v>
      </c>
      <c r="K183" s="211">
        <v>0</v>
      </c>
      <c r="L183" s="211">
        <v>0</v>
      </c>
      <c r="M183" s="211">
        <f>E183+F183+G183+H183+I183+J183+K183+L183</f>
        <v>865881476</v>
      </c>
      <c r="N183" s="67" t="s">
        <v>158</v>
      </c>
      <c r="Q183" s="87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</row>
    <row r="184" spans="1:35" ht="38" thickBot="1" x14ac:dyDescent="0.3">
      <c r="A184" s="67"/>
      <c r="B184" s="1039"/>
      <c r="C184" s="1040"/>
      <c r="D184" s="1047"/>
      <c r="E184" s="226">
        <v>0</v>
      </c>
      <c r="F184" s="226">
        <v>0</v>
      </c>
      <c r="G184" s="226"/>
      <c r="H184" s="219">
        <v>0</v>
      </c>
      <c r="I184" s="219">
        <v>0</v>
      </c>
      <c r="J184" s="226">
        <v>0</v>
      </c>
      <c r="K184" s="238">
        <v>0</v>
      </c>
      <c r="L184" s="238">
        <v>0</v>
      </c>
      <c r="M184" s="226">
        <f t="shared" ref="M184:M194" si="22">E184+F184+G184+H184+I184+J184+K184+L184</f>
        <v>0</v>
      </c>
      <c r="N184" s="225" t="s">
        <v>162</v>
      </c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</row>
    <row r="185" spans="1:35" x14ac:dyDescent="0.25">
      <c r="A185" s="67"/>
      <c r="B185" s="1029" t="s">
        <v>1021</v>
      </c>
      <c r="C185" s="1030"/>
      <c r="D185" s="1046" t="s">
        <v>988</v>
      </c>
      <c r="E185" s="213">
        <f>605709868+44445265</f>
        <v>650155133</v>
      </c>
      <c r="F185" s="213">
        <f>92149285+5777884</f>
        <v>97927169</v>
      </c>
      <c r="G185" s="213">
        <v>163022323</v>
      </c>
      <c r="H185" s="217">
        <v>5000000</v>
      </c>
      <c r="I185" s="217">
        <v>0</v>
      </c>
      <c r="J185" s="213">
        <v>0</v>
      </c>
      <c r="K185" s="215">
        <v>0</v>
      </c>
      <c r="L185" s="215">
        <v>0</v>
      </c>
      <c r="M185" s="213">
        <f>SUM(E185:L185)</f>
        <v>916104625</v>
      </c>
      <c r="N185" s="67" t="s">
        <v>158</v>
      </c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</row>
    <row r="186" spans="1:35" ht="38" thickBot="1" x14ac:dyDescent="0.3">
      <c r="A186" s="67"/>
      <c r="B186" s="1039"/>
      <c r="C186" s="1040"/>
      <c r="D186" s="1047"/>
      <c r="E186" s="213"/>
      <c r="F186" s="213"/>
      <c r="G186" s="213"/>
      <c r="H186" s="217"/>
      <c r="I186" s="217"/>
      <c r="J186" s="213"/>
      <c r="K186" s="215"/>
      <c r="L186" s="215"/>
      <c r="M186" s="213"/>
      <c r="N186" s="225" t="s">
        <v>162</v>
      </c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</row>
    <row r="187" spans="1:35" x14ac:dyDescent="0.25">
      <c r="A187" s="67"/>
      <c r="B187" s="1048" t="s">
        <v>232</v>
      </c>
      <c r="C187" s="1049"/>
      <c r="D187" s="1046" t="s">
        <v>79</v>
      </c>
      <c r="E187" s="211">
        <v>93980233</v>
      </c>
      <c r="F187" s="211">
        <v>12952460</v>
      </c>
      <c r="G187" s="211">
        <v>0</v>
      </c>
      <c r="H187" s="211">
        <v>0</v>
      </c>
      <c r="I187" s="211">
        <v>0</v>
      </c>
      <c r="J187" s="211">
        <v>0</v>
      </c>
      <c r="K187" s="211">
        <v>0</v>
      </c>
      <c r="L187" s="211">
        <v>0</v>
      </c>
      <c r="M187" s="211">
        <f t="shared" si="22"/>
        <v>106932693</v>
      </c>
      <c r="N187" s="67" t="s">
        <v>158</v>
      </c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</row>
    <row r="188" spans="1:35" ht="38" thickBot="1" x14ac:dyDescent="0.3">
      <c r="A188" s="67"/>
      <c r="B188" s="1050"/>
      <c r="C188" s="1051"/>
      <c r="D188" s="1047"/>
      <c r="E188" s="354">
        <v>0</v>
      </c>
      <c r="F188" s="213">
        <v>0</v>
      </c>
      <c r="G188" s="213">
        <v>0</v>
      </c>
      <c r="H188" s="213">
        <v>0</v>
      </c>
      <c r="I188" s="213">
        <v>0</v>
      </c>
      <c r="J188" s="213">
        <v>0</v>
      </c>
      <c r="K188" s="213">
        <v>0</v>
      </c>
      <c r="L188" s="213">
        <v>0</v>
      </c>
      <c r="M188" s="213">
        <f t="shared" si="22"/>
        <v>0</v>
      </c>
      <c r="N188" s="225" t="s">
        <v>162</v>
      </c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</row>
    <row r="189" spans="1:35" x14ac:dyDescent="0.25">
      <c r="A189" s="67"/>
      <c r="B189" s="1048" t="s">
        <v>232</v>
      </c>
      <c r="C189" s="1049"/>
      <c r="D189" s="1046" t="s">
        <v>988</v>
      </c>
      <c r="E189" s="732">
        <f>93980233+7287491</f>
        <v>101267724</v>
      </c>
      <c r="F189" s="210">
        <f>12952460+947374</f>
        <v>13899834</v>
      </c>
      <c r="G189" s="211">
        <v>0</v>
      </c>
      <c r="H189" s="624">
        <v>0</v>
      </c>
      <c r="I189" s="211">
        <v>0</v>
      </c>
      <c r="J189" s="624">
        <v>0</v>
      </c>
      <c r="K189" s="211">
        <v>0</v>
      </c>
      <c r="L189" s="210">
        <v>0</v>
      </c>
      <c r="M189" s="211">
        <f>SUM(E189:L189)</f>
        <v>115167558</v>
      </c>
      <c r="N189" s="67" t="s">
        <v>158</v>
      </c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</row>
    <row r="190" spans="1:35" ht="38" thickBot="1" x14ac:dyDescent="0.3">
      <c r="A190" s="67"/>
      <c r="B190" s="1050"/>
      <c r="C190" s="1051"/>
      <c r="D190" s="1047"/>
      <c r="E190" s="354"/>
      <c r="F190" s="212"/>
      <c r="G190" s="213"/>
      <c r="H190" s="630"/>
      <c r="I190" s="213"/>
      <c r="J190" s="630"/>
      <c r="K190" s="213"/>
      <c r="L190" s="212"/>
      <c r="M190" s="213"/>
      <c r="N190" s="225" t="s">
        <v>162</v>
      </c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</row>
    <row r="191" spans="1:35" x14ac:dyDescent="0.25">
      <c r="A191" s="67"/>
      <c r="B191" s="1048" t="s">
        <v>804</v>
      </c>
      <c r="C191" s="1049"/>
      <c r="D191" s="657" t="s">
        <v>79</v>
      </c>
      <c r="E191" s="726">
        <v>0</v>
      </c>
      <c r="F191" s="210">
        <v>0</v>
      </c>
      <c r="G191" s="211">
        <v>0</v>
      </c>
      <c r="H191" s="624">
        <v>0</v>
      </c>
      <c r="I191" s="211">
        <v>0</v>
      </c>
      <c r="J191" s="624">
        <v>0</v>
      </c>
      <c r="K191" s="211">
        <v>0</v>
      </c>
      <c r="L191" s="210">
        <v>0</v>
      </c>
      <c r="M191" s="211">
        <f t="shared" si="22"/>
        <v>0</v>
      </c>
      <c r="N191" s="225" t="s">
        <v>158</v>
      </c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</row>
    <row r="192" spans="1:35" ht="13" thickBot="1" x14ac:dyDescent="0.3">
      <c r="A192" s="67"/>
      <c r="B192" s="1050"/>
      <c r="C192" s="1051"/>
      <c r="D192" s="729" t="s">
        <v>988</v>
      </c>
      <c r="E192" s="819">
        <v>12301001</v>
      </c>
      <c r="F192" s="730">
        <v>1740712</v>
      </c>
      <c r="G192" s="731">
        <v>3097468</v>
      </c>
      <c r="H192" s="730"/>
      <c r="I192" s="731"/>
      <c r="J192" s="730"/>
      <c r="K192" s="731"/>
      <c r="L192" s="730"/>
      <c r="M192" s="731">
        <f>SUM(E192:L192)</f>
        <v>17139181</v>
      </c>
      <c r="N192" s="225" t="s">
        <v>158</v>
      </c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</row>
    <row r="193" spans="1:35" x14ac:dyDescent="0.25">
      <c r="A193" s="67"/>
      <c r="B193" s="1029" t="s">
        <v>199</v>
      </c>
      <c r="C193" s="1030"/>
      <c r="D193" s="1046" t="s">
        <v>79</v>
      </c>
      <c r="E193" s="629">
        <v>0</v>
      </c>
      <c r="F193" s="630">
        <v>0</v>
      </c>
      <c r="G193" s="213">
        <v>0</v>
      </c>
      <c r="H193" s="630">
        <v>0</v>
      </c>
      <c r="I193" s="213">
        <v>0</v>
      </c>
      <c r="J193" s="630">
        <v>0</v>
      </c>
      <c r="K193" s="213">
        <v>0</v>
      </c>
      <c r="L193" s="630">
        <v>0</v>
      </c>
      <c r="M193" s="213">
        <f t="shared" si="22"/>
        <v>0</v>
      </c>
      <c r="N193" s="67" t="s">
        <v>158</v>
      </c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</row>
    <row r="194" spans="1:35" ht="38" thickBot="1" x14ac:dyDescent="0.3">
      <c r="A194" s="67"/>
      <c r="B194" s="1034"/>
      <c r="C194" s="1035"/>
      <c r="D194" s="1052"/>
      <c r="E194" s="367">
        <v>25885993</v>
      </c>
      <c r="F194" s="213">
        <v>3545179</v>
      </c>
      <c r="G194" s="213">
        <v>1750000</v>
      </c>
      <c r="H194" s="213">
        <v>0</v>
      </c>
      <c r="I194" s="213">
        <v>0</v>
      </c>
      <c r="J194" s="213">
        <v>0</v>
      </c>
      <c r="K194" s="213">
        <v>0</v>
      </c>
      <c r="L194" s="215">
        <v>0</v>
      </c>
      <c r="M194" s="213">
        <f t="shared" si="22"/>
        <v>31181172</v>
      </c>
      <c r="N194" s="225" t="s">
        <v>162</v>
      </c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</row>
    <row r="195" spans="1:35" x14ac:dyDescent="0.25">
      <c r="A195" s="67"/>
      <c r="B195" s="1029" t="s">
        <v>199</v>
      </c>
      <c r="C195" s="1030"/>
      <c r="D195" s="1046" t="s">
        <v>988</v>
      </c>
      <c r="E195" s="732"/>
      <c r="F195" s="211"/>
      <c r="G195" s="211"/>
      <c r="H195" s="211"/>
      <c r="I195" s="211"/>
      <c r="J195" s="211"/>
      <c r="K195" s="211"/>
      <c r="L195" s="214"/>
      <c r="M195" s="211"/>
      <c r="N195" s="67" t="s">
        <v>158</v>
      </c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</row>
    <row r="196" spans="1:35" ht="38" thickBot="1" x14ac:dyDescent="0.3">
      <c r="A196" s="67"/>
      <c r="B196" s="1034"/>
      <c r="C196" s="1035"/>
      <c r="D196" s="1052"/>
      <c r="E196" s="367">
        <f>25885993+2123095</f>
        <v>28009088</v>
      </c>
      <c r="F196" s="213">
        <f>3545179+276002</f>
        <v>3821181</v>
      </c>
      <c r="G196" s="213">
        <v>1750000</v>
      </c>
      <c r="H196" s="213">
        <v>0</v>
      </c>
      <c r="I196" s="213">
        <v>0</v>
      </c>
      <c r="J196" s="213">
        <v>0</v>
      </c>
      <c r="K196" s="213">
        <v>0</v>
      </c>
      <c r="L196" s="215">
        <v>0</v>
      </c>
      <c r="M196" s="213">
        <f>SUM(E196:L196)</f>
        <v>33580269</v>
      </c>
      <c r="N196" s="225" t="s">
        <v>162</v>
      </c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</row>
    <row r="197" spans="1:35" ht="13" x14ac:dyDescent="0.3">
      <c r="A197" s="67"/>
      <c r="B197" s="996" t="s">
        <v>59</v>
      </c>
      <c r="C197" s="997"/>
      <c r="D197" s="584" t="s">
        <v>79</v>
      </c>
      <c r="E197" s="187">
        <f>E183+E184+E187+E188+E191+E193+E194</f>
        <v>725576094</v>
      </c>
      <c r="F197" s="187">
        <f t="shared" ref="F197:L197" si="23">F183+F184+F187+F188+F191+F193+F194</f>
        <v>108646924</v>
      </c>
      <c r="G197" s="187">
        <f t="shared" si="23"/>
        <v>164772323</v>
      </c>
      <c r="H197" s="187">
        <f t="shared" si="23"/>
        <v>5000000</v>
      </c>
      <c r="I197" s="187">
        <f t="shared" si="23"/>
        <v>0</v>
      </c>
      <c r="J197" s="187">
        <f t="shared" si="23"/>
        <v>0</v>
      </c>
      <c r="K197" s="187">
        <f t="shared" si="23"/>
        <v>0</v>
      </c>
      <c r="L197" s="187">
        <f t="shared" si="23"/>
        <v>0</v>
      </c>
      <c r="M197" s="187">
        <f>M183+M184+M187+M188+M191+M193+M194+1</f>
        <v>1003995342</v>
      </c>
      <c r="N197" s="67"/>
      <c r="O197" s="394">
        <f>SUM(E197:L197)</f>
        <v>1003995341</v>
      </c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</row>
    <row r="198" spans="1:35" ht="13" x14ac:dyDescent="0.3">
      <c r="A198" s="67"/>
      <c r="B198" s="991" t="s">
        <v>164</v>
      </c>
      <c r="C198" s="992"/>
      <c r="D198" s="733"/>
      <c r="E198" s="622">
        <f>E183+E187+E191+E193+E194</f>
        <v>725576094</v>
      </c>
      <c r="F198" s="622">
        <f t="shared" ref="F198:L198" si="24">F183+F187+F191+F193+F194</f>
        <v>108646924</v>
      </c>
      <c r="G198" s="622">
        <f t="shared" si="24"/>
        <v>164772323</v>
      </c>
      <c r="H198" s="622">
        <f t="shared" si="24"/>
        <v>5000000</v>
      </c>
      <c r="I198" s="622">
        <f t="shared" si="24"/>
        <v>0</v>
      </c>
      <c r="J198" s="622">
        <f t="shared" si="24"/>
        <v>0</v>
      </c>
      <c r="K198" s="622">
        <f t="shared" si="24"/>
        <v>0</v>
      </c>
      <c r="L198" s="622">
        <f t="shared" si="24"/>
        <v>0</v>
      </c>
      <c r="M198" s="622">
        <f>M183+M187+M191+M193+M194+1</f>
        <v>1003995342</v>
      </c>
      <c r="N198" s="288"/>
      <c r="O198" s="394">
        <f t="shared" ref="O198:O200" si="25">SUM(E198:L198)</f>
        <v>1003995341</v>
      </c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</row>
    <row r="199" spans="1:35" ht="13" x14ac:dyDescent="0.3">
      <c r="A199" s="67"/>
      <c r="B199" s="1053" t="s">
        <v>478</v>
      </c>
      <c r="C199" s="1054"/>
      <c r="D199" s="733"/>
      <c r="E199" s="625">
        <f>E197-E198</f>
        <v>0</v>
      </c>
      <c r="F199" s="625">
        <f t="shared" ref="F199:M199" si="26">F197-F198</f>
        <v>0</v>
      </c>
      <c r="G199" s="625">
        <f t="shared" si="26"/>
        <v>0</v>
      </c>
      <c r="H199" s="625">
        <f t="shared" si="26"/>
        <v>0</v>
      </c>
      <c r="I199" s="625">
        <f t="shared" si="26"/>
        <v>0</v>
      </c>
      <c r="J199" s="625">
        <f t="shared" si="26"/>
        <v>0</v>
      </c>
      <c r="K199" s="625">
        <f t="shared" si="26"/>
        <v>0</v>
      </c>
      <c r="L199" s="625">
        <f t="shared" si="26"/>
        <v>0</v>
      </c>
      <c r="M199" s="625">
        <f t="shared" si="26"/>
        <v>0</v>
      </c>
      <c r="N199" s="288"/>
      <c r="O199" s="394">
        <f t="shared" si="25"/>
        <v>0</v>
      </c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</row>
    <row r="200" spans="1:35" ht="13.5" thickBot="1" x14ac:dyDescent="0.35">
      <c r="A200" s="67"/>
      <c r="B200" s="1055" t="s">
        <v>479</v>
      </c>
      <c r="C200" s="1056"/>
      <c r="D200" s="1057"/>
      <c r="E200" s="627">
        <f>E194</f>
        <v>25885993</v>
      </c>
      <c r="F200" s="627">
        <f t="shared" ref="F200:M200" si="27">F194</f>
        <v>3545179</v>
      </c>
      <c r="G200" s="627">
        <f t="shared" si="27"/>
        <v>1750000</v>
      </c>
      <c r="H200" s="627">
        <f t="shared" si="27"/>
        <v>0</v>
      </c>
      <c r="I200" s="627">
        <f t="shared" si="27"/>
        <v>0</v>
      </c>
      <c r="J200" s="627">
        <f t="shared" si="27"/>
        <v>0</v>
      </c>
      <c r="K200" s="627">
        <f t="shared" si="27"/>
        <v>0</v>
      </c>
      <c r="L200" s="627">
        <f t="shared" si="27"/>
        <v>0</v>
      </c>
      <c r="M200" s="627">
        <f t="shared" si="27"/>
        <v>31181172</v>
      </c>
      <c r="N200" s="288"/>
      <c r="O200" s="394">
        <f t="shared" si="25"/>
        <v>31181172</v>
      </c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</row>
    <row r="201" spans="1:35" ht="13" x14ac:dyDescent="0.3">
      <c r="A201" s="67"/>
      <c r="B201" s="996" t="s">
        <v>59</v>
      </c>
      <c r="C201" s="997"/>
      <c r="D201" s="584" t="s">
        <v>988</v>
      </c>
      <c r="E201" s="727">
        <f>E185+E186+E189+E190+E192+E195+E196+1</f>
        <v>791732947</v>
      </c>
      <c r="F201" s="727">
        <f>F185+F186+F189+F190+F192+F195+F196+1</f>
        <v>117388897</v>
      </c>
      <c r="G201" s="727">
        <f t="shared" ref="G201:L201" si="28">G185+G186+G189+G190+G192+G195+G196</f>
        <v>167869791</v>
      </c>
      <c r="H201" s="727">
        <f t="shared" si="28"/>
        <v>5000000</v>
      </c>
      <c r="I201" s="727">
        <f t="shared" si="28"/>
        <v>0</v>
      </c>
      <c r="J201" s="727">
        <f t="shared" si="28"/>
        <v>0</v>
      </c>
      <c r="K201" s="727">
        <f t="shared" si="28"/>
        <v>0</v>
      </c>
      <c r="L201" s="727">
        <f t="shared" si="28"/>
        <v>0</v>
      </c>
      <c r="M201" s="727">
        <f>SUM(E201:L201)</f>
        <v>1081991635</v>
      </c>
      <c r="N201" s="288"/>
      <c r="O201" s="394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</row>
    <row r="202" spans="1:35" ht="13" x14ac:dyDescent="0.3">
      <c r="A202" s="67"/>
      <c r="B202" s="991" t="s">
        <v>164</v>
      </c>
      <c r="C202" s="992"/>
      <c r="D202" s="733"/>
      <c r="E202" s="626">
        <f>E201</f>
        <v>791732947</v>
      </c>
      <c r="F202" s="626">
        <f t="shared" ref="F202:M202" si="29">F201</f>
        <v>117388897</v>
      </c>
      <c r="G202" s="626">
        <f t="shared" si="29"/>
        <v>167869791</v>
      </c>
      <c r="H202" s="626">
        <f t="shared" si="29"/>
        <v>5000000</v>
      </c>
      <c r="I202" s="626">
        <f t="shared" si="29"/>
        <v>0</v>
      </c>
      <c r="J202" s="626">
        <f t="shared" si="29"/>
        <v>0</v>
      </c>
      <c r="K202" s="626">
        <f t="shared" si="29"/>
        <v>0</v>
      </c>
      <c r="L202" s="626">
        <f t="shared" si="29"/>
        <v>0</v>
      </c>
      <c r="M202" s="626">
        <f t="shared" si="29"/>
        <v>1081991635</v>
      </c>
      <c r="N202" s="288"/>
      <c r="O202" s="394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</row>
    <row r="203" spans="1:35" ht="13" x14ac:dyDescent="0.3">
      <c r="A203" s="67"/>
      <c r="B203" s="1053" t="s">
        <v>478</v>
      </c>
      <c r="C203" s="1054"/>
      <c r="D203" s="733"/>
      <c r="E203" s="626">
        <v>0</v>
      </c>
      <c r="F203" s="626">
        <v>0</v>
      </c>
      <c r="G203" s="626">
        <v>0</v>
      </c>
      <c r="H203" s="626">
        <v>0</v>
      </c>
      <c r="I203" s="626">
        <v>0</v>
      </c>
      <c r="J203" s="626">
        <v>0</v>
      </c>
      <c r="K203" s="626">
        <v>0</v>
      </c>
      <c r="L203" s="626">
        <v>0</v>
      </c>
      <c r="M203" s="626">
        <v>0</v>
      </c>
      <c r="N203" s="288"/>
      <c r="O203" s="394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</row>
    <row r="204" spans="1:35" ht="13.5" thickBot="1" x14ac:dyDescent="0.35">
      <c r="A204" s="67"/>
      <c r="B204" s="1055" t="s">
        <v>479</v>
      </c>
      <c r="C204" s="1056"/>
      <c r="D204" s="1057"/>
      <c r="E204" s="728">
        <f>E196</f>
        <v>28009088</v>
      </c>
      <c r="F204" s="728">
        <f t="shared" ref="F204:M204" si="30">F196</f>
        <v>3821181</v>
      </c>
      <c r="G204" s="728">
        <f t="shared" si="30"/>
        <v>1750000</v>
      </c>
      <c r="H204" s="728">
        <f t="shared" si="30"/>
        <v>0</v>
      </c>
      <c r="I204" s="728">
        <f t="shared" si="30"/>
        <v>0</v>
      </c>
      <c r="J204" s="728">
        <f t="shared" si="30"/>
        <v>0</v>
      </c>
      <c r="K204" s="728">
        <f t="shared" si="30"/>
        <v>0</v>
      </c>
      <c r="L204" s="728">
        <f t="shared" si="30"/>
        <v>0</v>
      </c>
      <c r="M204" s="728">
        <f t="shared" si="30"/>
        <v>33580269</v>
      </c>
      <c r="N204" s="288"/>
      <c r="O204" s="394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</row>
    <row r="205" spans="1:35" ht="13" x14ac:dyDescent="0.3">
      <c r="A205" s="67"/>
      <c r="B205" s="39"/>
      <c r="C205" s="94"/>
      <c r="D205" s="94"/>
      <c r="E205" s="260"/>
      <c r="F205" s="260"/>
      <c r="G205" s="260"/>
      <c r="H205" s="260"/>
      <c r="I205" s="260"/>
      <c r="J205" s="260"/>
      <c r="K205" s="260"/>
      <c r="L205" s="260"/>
      <c r="M205" s="260"/>
      <c r="N205" s="28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</row>
    <row r="206" spans="1:35" ht="13" x14ac:dyDescent="0.3">
      <c r="A206" s="67"/>
      <c r="B206" s="255" t="s">
        <v>325</v>
      </c>
      <c r="C206" s="66"/>
      <c r="D206" s="66"/>
      <c r="E206" s="149"/>
      <c r="F206" s="149"/>
      <c r="G206" s="149"/>
      <c r="H206" s="149"/>
      <c r="I206" s="149"/>
      <c r="J206" s="149"/>
      <c r="K206" s="149" t="s">
        <v>787</v>
      </c>
      <c r="L206" s="149"/>
      <c r="M206" s="149" t="s">
        <v>693</v>
      </c>
      <c r="N206" s="28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</row>
    <row r="207" spans="1:35" ht="13.5" thickBot="1" x14ac:dyDescent="0.35">
      <c r="A207" s="67"/>
      <c r="B207" s="39"/>
      <c r="C207" s="94"/>
      <c r="D207" s="94"/>
      <c r="E207" s="260"/>
      <c r="F207" s="260"/>
      <c r="G207" s="260"/>
      <c r="H207" s="260"/>
      <c r="I207" s="260"/>
      <c r="J207" s="260"/>
      <c r="K207" s="260"/>
      <c r="L207" s="260"/>
      <c r="M207" s="260"/>
      <c r="N207" s="28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</row>
    <row r="208" spans="1:35" x14ac:dyDescent="0.25">
      <c r="A208" s="67"/>
      <c r="B208" s="930" t="s">
        <v>231</v>
      </c>
      <c r="C208" s="931"/>
      <c r="D208" s="932"/>
      <c r="E208" s="924" t="s">
        <v>216</v>
      </c>
      <c r="F208" s="922" t="s">
        <v>217</v>
      </c>
      <c r="G208" s="922" t="s">
        <v>218</v>
      </c>
      <c r="H208" s="922" t="s">
        <v>219</v>
      </c>
      <c r="I208" s="922" t="s">
        <v>259</v>
      </c>
      <c r="J208" s="922" t="s">
        <v>256</v>
      </c>
      <c r="K208" s="922" t="s">
        <v>260</v>
      </c>
      <c r="L208" s="922" t="s">
        <v>224</v>
      </c>
      <c r="M208" s="928" t="s">
        <v>49</v>
      </c>
      <c r="N208" s="28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</row>
    <row r="209" spans="1:35" x14ac:dyDescent="0.25">
      <c r="A209" s="67"/>
      <c r="B209" s="933"/>
      <c r="C209" s="934"/>
      <c r="D209" s="935"/>
      <c r="E209" s="925"/>
      <c r="F209" s="923"/>
      <c r="G209" s="923"/>
      <c r="H209" s="927"/>
      <c r="I209" s="927"/>
      <c r="J209" s="927"/>
      <c r="K209" s="927"/>
      <c r="L209" s="927"/>
      <c r="M209" s="929"/>
      <c r="N209" s="28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</row>
    <row r="210" spans="1:35" ht="32.25" customHeight="1" thickBot="1" x14ac:dyDescent="0.3">
      <c r="A210" s="67"/>
      <c r="B210" s="1084"/>
      <c r="C210" s="1085"/>
      <c r="D210" s="1086"/>
      <c r="E210" s="1087"/>
      <c r="F210" s="954"/>
      <c r="G210" s="954"/>
      <c r="H210" s="1088"/>
      <c r="I210" s="1088"/>
      <c r="J210" s="1088"/>
      <c r="K210" s="1088"/>
      <c r="L210" s="1088"/>
      <c r="M210" s="929"/>
      <c r="N210" s="28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</row>
    <row r="211" spans="1:35" ht="13" customHeight="1" x14ac:dyDescent="0.3">
      <c r="A211" s="67"/>
      <c r="B211" s="1058" t="s">
        <v>302</v>
      </c>
      <c r="C211" s="1059"/>
      <c r="D211" s="1064" t="s">
        <v>79</v>
      </c>
      <c r="E211" s="261"/>
      <c r="F211" s="261"/>
      <c r="G211" s="261"/>
      <c r="H211" s="261"/>
      <c r="I211" s="261"/>
      <c r="J211" s="261"/>
      <c r="K211" s="261"/>
      <c r="L211" s="261"/>
      <c r="M211" s="261"/>
      <c r="N211" s="67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</row>
    <row r="212" spans="1:35" ht="13" x14ac:dyDescent="0.3">
      <c r="A212" s="67"/>
      <c r="B212" s="1060"/>
      <c r="C212" s="1061"/>
      <c r="D212" s="1065"/>
      <c r="E212" s="262">
        <v>73823646</v>
      </c>
      <c r="F212" s="262">
        <v>10897474</v>
      </c>
      <c r="G212" s="262">
        <v>20008547</v>
      </c>
      <c r="H212" s="262">
        <v>0</v>
      </c>
      <c r="I212" s="262">
        <v>0</v>
      </c>
      <c r="J212" s="262">
        <v>0</v>
      </c>
      <c r="K212" s="262">
        <v>0</v>
      </c>
      <c r="L212" s="262">
        <v>0</v>
      </c>
      <c r="M212" s="262">
        <f>SUM(E212:L212)</f>
        <v>104729667</v>
      </c>
      <c r="N212" s="67" t="s">
        <v>158</v>
      </c>
      <c r="P212" s="391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</row>
    <row r="213" spans="1:35" ht="27" customHeight="1" thickBot="1" x14ac:dyDescent="0.35">
      <c r="A213" s="67"/>
      <c r="B213" s="1062"/>
      <c r="C213" s="1063"/>
      <c r="D213" s="1066"/>
      <c r="E213" s="263"/>
      <c r="F213" s="263"/>
      <c r="G213" s="263"/>
      <c r="H213" s="263"/>
      <c r="I213" s="263"/>
      <c r="J213" s="263"/>
      <c r="K213" s="263"/>
      <c r="L213" s="263"/>
      <c r="M213" s="263"/>
      <c r="N213" s="225" t="s">
        <v>162</v>
      </c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</row>
    <row r="214" spans="1:35" ht="27" customHeight="1" x14ac:dyDescent="0.3">
      <c r="A214" s="67"/>
      <c r="B214" s="1058" t="s">
        <v>302</v>
      </c>
      <c r="C214" s="1059"/>
      <c r="D214" s="1067" t="s">
        <v>988</v>
      </c>
      <c r="E214" s="262">
        <f>73823646+5427102-2512800</f>
        <v>76737948</v>
      </c>
      <c r="F214" s="262">
        <f>10897474+705523-326664</f>
        <v>11276333</v>
      </c>
      <c r="G214" s="262">
        <v>20008546</v>
      </c>
      <c r="H214" s="262">
        <v>0</v>
      </c>
      <c r="I214" s="262">
        <v>0</v>
      </c>
      <c r="J214" s="262">
        <v>0</v>
      </c>
      <c r="K214" s="262">
        <v>0</v>
      </c>
      <c r="L214" s="262">
        <v>0</v>
      </c>
      <c r="M214" s="262">
        <f>SUM(E214:L214)</f>
        <v>108022827</v>
      </c>
      <c r="N214" s="67" t="s">
        <v>158</v>
      </c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</row>
    <row r="215" spans="1:35" ht="27" customHeight="1" thickBot="1" x14ac:dyDescent="0.35">
      <c r="A215" s="67"/>
      <c r="B215" s="1062"/>
      <c r="C215" s="1063"/>
      <c r="D215" s="1068"/>
      <c r="E215" s="262"/>
      <c r="F215" s="262"/>
      <c r="G215" s="262"/>
      <c r="H215" s="262"/>
      <c r="I215" s="262"/>
      <c r="J215" s="262"/>
      <c r="K215" s="262"/>
      <c r="L215" s="262"/>
      <c r="M215" s="262"/>
      <c r="N215" s="225" t="s">
        <v>162</v>
      </c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</row>
    <row r="216" spans="1:35" ht="13" x14ac:dyDescent="0.3">
      <c r="A216" s="67"/>
      <c r="B216" s="996" t="s">
        <v>59</v>
      </c>
      <c r="C216" s="997"/>
      <c r="D216" s="1069" t="s">
        <v>79</v>
      </c>
      <c r="E216" s="187">
        <f>E212+E213</f>
        <v>73823646</v>
      </c>
      <c r="F216" s="187">
        <f t="shared" ref="F216:M216" si="31">F212+F213</f>
        <v>10897474</v>
      </c>
      <c r="G216" s="187">
        <f t="shared" si="31"/>
        <v>20008547</v>
      </c>
      <c r="H216" s="187">
        <f t="shared" si="31"/>
        <v>0</v>
      </c>
      <c r="I216" s="187">
        <f t="shared" si="31"/>
        <v>0</v>
      </c>
      <c r="J216" s="187">
        <f t="shared" si="31"/>
        <v>0</v>
      </c>
      <c r="K216" s="187">
        <f t="shared" si="31"/>
        <v>0</v>
      </c>
      <c r="L216" s="187">
        <f t="shared" si="31"/>
        <v>0</v>
      </c>
      <c r="M216" s="187">
        <f t="shared" si="31"/>
        <v>104729667</v>
      </c>
      <c r="N216" s="28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</row>
    <row r="217" spans="1:35" ht="13" x14ac:dyDescent="0.3">
      <c r="A217" s="67"/>
      <c r="B217" s="991" t="s">
        <v>164</v>
      </c>
      <c r="C217" s="992"/>
      <c r="D217" s="1070"/>
      <c r="E217" s="622">
        <f>E212</f>
        <v>73823646</v>
      </c>
      <c r="F217" s="622">
        <f t="shared" ref="F217:M217" si="32">F212</f>
        <v>10897474</v>
      </c>
      <c r="G217" s="622">
        <f t="shared" si="32"/>
        <v>20008547</v>
      </c>
      <c r="H217" s="622">
        <f t="shared" si="32"/>
        <v>0</v>
      </c>
      <c r="I217" s="622">
        <f t="shared" si="32"/>
        <v>0</v>
      </c>
      <c r="J217" s="622">
        <f t="shared" si="32"/>
        <v>0</v>
      </c>
      <c r="K217" s="622">
        <f t="shared" si="32"/>
        <v>0</v>
      </c>
      <c r="L217" s="622">
        <f t="shared" si="32"/>
        <v>0</v>
      </c>
      <c r="M217" s="622">
        <f t="shared" si="32"/>
        <v>104729667</v>
      </c>
      <c r="N217" s="28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</row>
    <row r="218" spans="1:35" ht="13.5" thickBot="1" x14ac:dyDescent="0.35">
      <c r="A218" s="67"/>
      <c r="B218" s="1043" t="s">
        <v>166</v>
      </c>
      <c r="C218" s="1044"/>
      <c r="D218" s="1045"/>
      <c r="E218" s="628">
        <f>E213</f>
        <v>0</v>
      </c>
      <c r="F218" s="628">
        <f t="shared" ref="F218:M218" si="33">F213</f>
        <v>0</v>
      </c>
      <c r="G218" s="628">
        <f t="shared" si="33"/>
        <v>0</v>
      </c>
      <c r="H218" s="628">
        <f t="shared" si="33"/>
        <v>0</v>
      </c>
      <c r="I218" s="628">
        <f t="shared" si="33"/>
        <v>0</v>
      </c>
      <c r="J218" s="628">
        <f t="shared" si="33"/>
        <v>0</v>
      </c>
      <c r="K218" s="628">
        <f t="shared" si="33"/>
        <v>0</v>
      </c>
      <c r="L218" s="628">
        <f t="shared" si="33"/>
        <v>0</v>
      </c>
      <c r="M218" s="628">
        <f t="shared" si="33"/>
        <v>0</v>
      </c>
      <c r="N218" s="288"/>
      <c r="O218" s="394">
        <f>M216+M197+M169</f>
        <v>7920922727</v>
      </c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</row>
    <row r="219" spans="1:35" ht="13" x14ac:dyDescent="0.3">
      <c r="A219" s="67"/>
      <c r="B219" s="996" t="s">
        <v>59</v>
      </c>
      <c r="C219" s="997"/>
      <c r="D219" s="1069" t="s">
        <v>988</v>
      </c>
      <c r="E219" s="727">
        <f>E214+E215</f>
        <v>76737948</v>
      </c>
      <c r="F219" s="727">
        <f t="shared" ref="F219:M219" si="34">F214+F215</f>
        <v>11276333</v>
      </c>
      <c r="G219" s="727">
        <f t="shared" si="34"/>
        <v>20008546</v>
      </c>
      <c r="H219" s="727">
        <f t="shared" si="34"/>
        <v>0</v>
      </c>
      <c r="I219" s="727">
        <f t="shared" si="34"/>
        <v>0</v>
      </c>
      <c r="J219" s="727">
        <f t="shared" si="34"/>
        <v>0</v>
      </c>
      <c r="K219" s="727">
        <f t="shared" si="34"/>
        <v>0</v>
      </c>
      <c r="L219" s="727">
        <f t="shared" si="34"/>
        <v>0</v>
      </c>
      <c r="M219" s="727">
        <f t="shared" si="34"/>
        <v>108022827</v>
      </c>
      <c r="N219" s="288"/>
      <c r="O219" s="394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</row>
    <row r="220" spans="1:35" ht="13" x14ac:dyDescent="0.3">
      <c r="A220" s="67"/>
      <c r="B220" s="991" t="s">
        <v>164</v>
      </c>
      <c r="C220" s="992"/>
      <c r="D220" s="1070"/>
      <c r="E220" s="626">
        <f>E214</f>
        <v>76737948</v>
      </c>
      <c r="F220" s="626">
        <f t="shared" ref="F220:M220" si="35">F214</f>
        <v>11276333</v>
      </c>
      <c r="G220" s="626">
        <f t="shared" si="35"/>
        <v>20008546</v>
      </c>
      <c r="H220" s="626">
        <f t="shared" si="35"/>
        <v>0</v>
      </c>
      <c r="I220" s="626">
        <f t="shared" si="35"/>
        <v>0</v>
      </c>
      <c r="J220" s="626">
        <f t="shared" si="35"/>
        <v>0</v>
      </c>
      <c r="K220" s="626">
        <f t="shared" si="35"/>
        <v>0</v>
      </c>
      <c r="L220" s="626">
        <f t="shared" si="35"/>
        <v>0</v>
      </c>
      <c r="M220" s="626">
        <f t="shared" si="35"/>
        <v>108022827</v>
      </c>
      <c r="N220" s="288"/>
      <c r="O220" s="394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</row>
    <row r="221" spans="1:35" ht="13.5" thickBot="1" x14ac:dyDescent="0.35">
      <c r="A221" s="67"/>
      <c r="B221" s="1043" t="s">
        <v>166</v>
      </c>
      <c r="C221" s="1044"/>
      <c r="D221" s="1045"/>
      <c r="E221" s="728">
        <f>E215</f>
        <v>0</v>
      </c>
      <c r="F221" s="728">
        <f t="shared" ref="F221:M221" si="36">F215</f>
        <v>0</v>
      </c>
      <c r="G221" s="728">
        <f t="shared" si="36"/>
        <v>0</v>
      </c>
      <c r="H221" s="728">
        <f t="shared" si="36"/>
        <v>0</v>
      </c>
      <c r="I221" s="728">
        <f t="shared" si="36"/>
        <v>0</v>
      </c>
      <c r="J221" s="728">
        <f t="shared" si="36"/>
        <v>0</v>
      </c>
      <c r="K221" s="728">
        <f t="shared" si="36"/>
        <v>0</v>
      </c>
      <c r="L221" s="728">
        <f t="shared" si="36"/>
        <v>0</v>
      </c>
      <c r="M221" s="728">
        <f t="shared" si="36"/>
        <v>0</v>
      </c>
      <c r="N221" s="288"/>
      <c r="O221" s="394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</row>
    <row r="222" spans="1:35" ht="13" x14ac:dyDescent="0.3">
      <c r="A222" s="67"/>
      <c r="B222" s="39"/>
      <c r="C222" s="94"/>
      <c r="D222" s="94"/>
      <c r="E222" s="260"/>
      <c r="F222" s="260"/>
      <c r="G222" s="260"/>
      <c r="H222" s="260"/>
      <c r="I222" s="260"/>
      <c r="J222" s="260"/>
      <c r="K222" s="260"/>
      <c r="L222" s="260"/>
      <c r="M222" s="260"/>
      <c r="N222" s="28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</row>
    <row r="223" spans="1:35" x14ac:dyDescent="0.25">
      <c r="A223" s="67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67"/>
      <c r="O223" s="394">
        <f>M216+M197+M169+M38</f>
        <v>11935017663</v>
      </c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</row>
    <row r="224" spans="1:35" ht="13" x14ac:dyDescent="0.3">
      <c r="A224" s="67"/>
      <c r="B224" s="3" t="s">
        <v>326</v>
      </c>
      <c r="C224" s="8"/>
      <c r="D224" s="8"/>
      <c r="E224" s="8"/>
      <c r="F224" s="8"/>
      <c r="G224" s="8"/>
      <c r="H224" s="8"/>
      <c r="I224" s="275"/>
      <c r="J224" s="8"/>
      <c r="K224" s="275" t="s">
        <v>787</v>
      </c>
      <c r="L224" s="8"/>
      <c r="M224" s="3" t="s">
        <v>464</v>
      </c>
      <c r="N224" s="67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</row>
    <row r="225" spans="1:35" ht="13.25" customHeight="1" thickBot="1" x14ac:dyDescent="0.3">
      <c r="A225" s="67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67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</row>
    <row r="226" spans="1:35" s="390" customFormat="1" x14ac:dyDescent="0.25">
      <c r="A226" s="392"/>
      <c r="B226" s="930" t="s">
        <v>231</v>
      </c>
      <c r="C226" s="931"/>
      <c r="D226" s="932"/>
      <c r="E226" s="924" t="s">
        <v>216</v>
      </c>
      <c r="F226" s="922" t="s">
        <v>217</v>
      </c>
      <c r="G226" s="922" t="s">
        <v>218</v>
      </c>
      <c r="H226" s="922" t="s">
        <v>257</v>
      </c>
      <c r="I226" s="922" t="s">
        <v>287</v>
      </c>
      <c r="J226" s="922" t="s">
        <v>256</v>
      </c>
      <c r="K226" s="922" t="s">
        <v>260</v>
      </c>
      <c r="L226" s="922" t="s">
        <v>370</v>
      </c>
      <c r="M226" s="928" t="s">
        <v>49</v>
      </c>
      <c r="N226" s="67"/>
      <c r="O226" s="392"/>
    </row>
    <row r="227" spans="1:35" ht="13.25" customHeight="1" x14ac:dyDescent="0.25">
      <c r="B227" s="933"/>
      <c r="C227" s="934"/>
      <c r="D227" s="935"/>
      <c r="E227" s="925"/>
      <c r="F227" s="923"/>
      <c r="G227" s="923"/>
      <c r="H227" s="927"/>
      <c r="I227" s="927"/>
      <c r="J227" s="927"/>
      <c r="K227" s="927"/>
      <c r="L227" s="927"/>
      <c r="M227" s="929"/>
      <c r="N227" s="67"/>
    </row>
    <row r="228" spans="1:35" ht="53.5" customHeight="1" thickBot="1" x14ac:dyDescent="0.3">
      <c r="B228" s="933"/>
      <c r="C228" s="934"/>
      <c r="D228" s="935"/>
      <c r="E228" s="925"/>
      <c r="F228" s="923"/>
      <c r="G228" s="923"/>
      <c r="H228" s="927"/>
      <c r="I228" s="927"/>
      <c r="J228" s="927"/>
      <c r="K228" s="927"/>
      <c r="L228" s="927"/>
      <c r="M228" s="929"/>
      <c r="N228" s="67"/>
    </row>
    <row r="229" spans="1:35" x14ac:dyDescent="0.25">
      <c r="B229" s="1029" t="s">
        <v>285</v>
      </c>
      <c r="C229" s="1030"/>
      <c r="D229" s="1031" t="s">
        <v>79</v>
      </c>
      <c r="E229" s="400">
        <v>0</v>
      </c>
      <c r="F229" s="400">
        <v>0</v>
      </c>
      <c r="G229" s="256">
        <v>0</v>
      </c>
      <c r="H229" s="257">
        <v>0</v>
      </c>
      <c r="I229" s="257">
        <v>0</v>
      </c>
      <c r="J229" s="257">
        <v>0</v>
      </c>
      <c r="K229" s="259">
        <v>0</v>
      </c>
      <c r="L229" s="259">
        <v>0</v>
      </c>
      <c r="M229" s="377">
        <f t="shared" ref="M229:M230" si="37">SUM(E229:L229)</f>
        <v>0</v>
      </c>
      <c r="N229" s="67" t="s">
        <v>157</v>
      </c>
    </row>
    <row r="230" spans="1:35" ht="13" thickBot="1" x14ac:dyDescent="0.3">
      <c r="B230" s="1039"/>
      <c r="C230" s="1040"/>
      <c r="D230" s="1033"/>
      <c r="E230" s="401">
        <v>0</v>
      </c>
      <c r="F230" s="401">
        <v>0</v>
      </c>
      <c r="G230" s="229">
        <v>0</v>
      </c>
      <c r="H230" s="230">
        <v>0</v>
      </c>
      <c r="I230" s="230">
        <v>0</v>
      </c>
      <c r="J230" s="230">
        <v>0</v>
      </c>
      <c r="K230" s="232">
        <v>0</v>
      </c>
      <c r="L230" s="232">
        <v>0</v>
      </c>
      <c r="M230" s="376">
        <f t="shared" si="37"/>
        <v>0</v>
      </c>
      <c r="N230" s="67" t="s">
        <v>158</v>
      </c>
    </row>
    <row r="231" spans="1:35" x14ac:dyDescent="0.25">
      <c r="B231" s="1029" t="s">
        <v>285</v>
      </c>
      <c r="C231" s="1030"/>
      <c r="D231" s="1031" t="s">
        <v>988</v>
      </c>
      <c r="E231" s="724"/>
      <c r="F231" s="724"/>
      <c r="G231" s="234"/>
      <c r="H231" s="235"/>
      <c r="I231" s="235"/>
      <c r="J231" s="235"/>
      <c r="K231" s="237"/>
      <c r="L231" s="237"/>
      <c r="M231" s="738">
        <v>0</v>
      </c>
      <c r="N231" s="67" t="s">
        <v>157</v>
      </c>
    </row>
    <row r="232" spans="1:35" ht="13" thickBot="1" x14ac:dyDescent="0.3">
      <c r="B232" s="1039"/>
      <c r="C232" s="1040"/>
      <c r="D232" s="1033"/>
      <c r="E232" s="724"/>
      <c r="F232" s="724"/>
      <c r="G232" s="234"/>
      <c r="H232" s="235"/>
      <c r="I232" s="235"/>
      <c r="J232" s="235"/>
      <c r="K232" s="237"/>
      <c r="L232" s="237"/>
      <c r="M232" s="739">
        <v>0</v>
      </c>
      <c r="N232" s="67" t="s">
        <v>158</v>
      </c>
    </row>
    <row r="233" spans="1:35" x14ac:dyDescent="0.25">
      <c r="B233" s="1029" t="s">
        <v>221</v>
      </c>
      <c r="C233" s="1030"/>
      <c r="D233" s="1031" t="s">
        <v>79</v>
      </c>
      <c r="E233" s="227"/>
      <c r="F233" s="227"/>
      <c r="G233" s="256"/>
      <c r="H233" s="257"/>
      <c r="I233" s="258"/>
      <c r="J233" s="257"/>
      <c r="K233" s="259"/>
      <c r="L233" s="259"/>
      <c r="M233" s="211">
        <f t="shared" ref="M233:M234" si="38">SUM(E233:L233)</f>
        <v>0</v>
      </c>
      <c r="N233" s="67" t="s">
        <v>157</v>
      </c>
    </row>
    <row r="234" spans="1:35" ht="13" thickBot="1" x14ac:dyDescent="0.3">
      <c r="B234" s="1039"/>
      <c r="C234" s="1040"/>
      <c r="D234" s="1033"/>
      <c r="E234" s="228"/>
      <c r="F234" s="228"/>
      <c r="G234" s="229"/>
      <c r="H234" s="230"/>
      <c r="I234" s="231">
        <v>102055000</v>
      </c>
      <c r="J234" s="230"/>
      <c r="K234" s="232"/>
      <c r="L234" s="737"/>
      <c r="M234" s="213">
        <f t="shared" si="38"/>
        <v>102055000</v>
      </c>
      <c r="N234" s="67" t="s">
        <v>158</v>
      </c>
    </row>
    <row r="235" spans="1:35" x14ac:dyDescent="0.25">
      <c r="B235" s="1029" t="s">
        <v>221</v>
      </c>
      <c r="C235" s="1030"/>
      <c r="D235" s="1031" t="s">
        <v>988</v>
      </c>
      <c r="E235" s="233"/>
      <c r="F235" s="233"/>
      <c r="G235" s="234"/>
      <c r="H235" s="235"/>
      <c r="I235" s="236"/>
      <c r="J235" s="235"/>
      <c r="K235" s="237"/>
      <c r="L235" s="237"/>
      <c r="M235" s="211"/>
      <c r="N235" s="67" t="s">
        <v>157</v>
      </c>
    </row>
    <row r="236" spans="1:35" ht="17.5" customHeight="1" thickBot="1" x14ac:dyDescent="0.3">
      <c r="B236" s="1039"/>
      <c r="C236" s="1040"/>
      <c r="D236" s="1033"/>
      <c r="E236" s="233"/>
      <c r="F236" s="233"/>
      <c r="G236" s="234"/>
      <c r="H236" s="235"/>
      <c r="I236" s="236">
        <v>102055000</v>
      </c>
      <c r="J236" s="235"/>
      <c r="K236" s="237"/>
      <c r="L236" s="237"/>
      <c r="M236" s="213">
        <f>SUM(E236:L236)</f>
        <v>102055000</v>
      </c>
      <c r="N236" s="67" t="s">
        <v>158</v>
      </c>
    </row>
    <row r="237" spans="1:35" ht="34.5" customHeight="1" x14ac:dyDescent="0.25">
      <c r="B237" s="1029" t="s">
        <v>439</v>
      </c>
      <c r="C237" s="1030"/>
      <c r="D237" s="1031" t="s">
        <v>79</v>
      </c>
      <c r="E237" s="227">
        <v>0</v>
      </c>
      <c r="F237" s="227">
        <v>0</v>
      </c>
      <c r="G237" s="256">
        <v>13305980</v>
      </c>
      <c r="H237" s="393"/>
      <c r="I237" s="258">
        <v>208180</v>
      </c>
      <c r="J237" s="257"/>
      <c r="K237" s="259"/>
      <c r="L237" s="259"/>
      <c r="M237" s="211">
        <f t="shared" ref="M237:M238" si="39">SUM(E237:L237)</f>
        <v>13514160</v>
      </c>
      <c r="N237" s="67" t="s">
        <v>157</v>
      </c>
    </row>
    <row r="238" spans="1:35" ht="13" thickBot="1" x14ac:dyDescent="0.3">
      <c r="B238" s="1079" t="s">
        <v>440</v>
      </c>
      <c r="C238" s="1080"/>
      <c r="D238" s="1033"/>
      <c r="E238" s="228">
        <v>0</v>
      </c>
      <c r="F238" s="228">
        <v>0</v>
      </c>
      <c r="G238" s="799">
        <v>1539250551</v>
      </c>
      <c r="H238" s="230"/>
      <c r="I238" s="231">
        <v>500000</v>
      </c>
      <c r="J238" s="230"/>
      <c r="K238" s="232">
        <v>167970855</v>
      </c>
      <c r="L238" s="737"/>
      <c r="M238" s="731">
        <f t="shared" si="39"/>
        <v>1707721406</v>
      </c>
      <c r="N238" s="67" t="s">
        <v>158</v>
      </c>
    </row>
    <row r="239" spans="1:35" ht="32.5" customHeight="1" x14ac:dyDescent="0.25">
      <c r="B239" s="1029" t="s">
        <v>439</v>
      </c>
      <c r="C239" s="1030"/>
      <c r="D239" s="1031" t="s">
        <v>988</v>
      </c>
      <c r="E239" s="233"/>
      <c r="F239" s="233"/>
      <c r="G239" s="676">
        <f>13305980-850000</f>
        <v>12455980</v>
      </c>
      <c r="H239" s="235"/>
      <c r="I239" s="236">
        <v>208180</v>
      </c>
      <c r="J239" s="235"/>
      <c r="K239" s="237"/>
      <c r="L239" s="237"/>
      <c r="M239" s="213">
        <f>SUM(E239:L239)</f>
        <v>12664160</v>
      </c>
      <c r="N239" s="67" t="s">
        <v>157</v>
      </c>
    </row>
    <row r="240" spans="1:35" ht="13" thickBot="1" x14ac:dyDescent="0.3">
      <c r="B240" s="1079" t="s">
        <v>440</v>
      </c>
      <c r="C240" s="1080"/>
      <c r="D240" s="1033"/>
      <c r="E240" s="734"/>
      <c r="F240" s="734"/>
      <c r="G240" s="685">
        <v>1539250551</v>
      </c>
      <c r="H240" s="735"/>
      <c r="I240" s="736">
        <v>500000</v>
      </c>
      <c r="J240" s="735"/>
      <c r="K240" s="737">
        <f>167970855+6890337-61277500+194856055-308439747</f>
        <v>0</v>
      </c>
      <c r="L240" s="737"/>
      <c r="M240" s="213">
        <f>SUM(E240:L240)</f>
        <v>1539750551</v>
      </c>
      <c r="N240" s="67" t="s">
        <v>158</v>
      </c>
    </row>
    <row r="241" spans="2:14" ht="35.25" customHeight="1" x14ac:dyDescent="0.25">
      <c r="B241" s="1029" t="s">
        <v>436</v>
      </c>
      <c r="C241" s="1030"/>
      <c r="D241" s="1031" t="s">
        <v>79</v>
      </c>
      <c r="E241" s="235">
        <v>0</v>
      </c>
      <c r="F241" s="235">
        <v>0</v>
      </c>
      <c r="G241" s="234">
        <v>0</v>
      </c>
      <c r="H241" s="235">
        <v>0</v>
      </c>
      <c r="I241" s="236"/>
      <c r="J241" s="235"/>
      <c r="K241" s="237"/>
      <c r="L241" s="237"/>
      <c r="M241" s="211">
        <f t="shared" ref="M241:M242" si="40">SUM(E241:L241)</f>
        <v>0</v>
      </c>
      <c r="N241" s="67" t="s">
        <v>157</v>
      </c>
    </row>
    <row r="242" spans="2:14" ht="13" thickBot="1" x14ac:dyDescent="0.3">
      <c r="B242" s="1039" t="s">
        <v>437</v>
      </c>
      <c r="C242" s="1040"/>
      <c r="D242" s="1033"/>
      <c r="E242" s="233"/>
      <c r="F242" s="233"/>
      <c r="G242" s="234">
        <v>0</v>
      </c>
      <c r="H242" s="235"/>
      <c r="I242" s="236"/>
      <c r="J242" s="235"/>
      <c r="K242" s="237"/>
      <c r="L242" s="237"/>
      <c r="M242" s="213">
        <f t="shared" si="40"/>
        <v>0</v>
      </c>
      <c r="N242" s="67" t="s">
        <v>158</v>
      </c>
    </row>
    <row r="243" spans="2:14" ht="31.5" customHeight="1" x14ac:dyDescent="0.25">
      <c r="B243" s="1029" t="s">
        <v>436</v>
      </c>
      <c r="C243" s="1030"/>
      <c r="D243" s="1031" t="s">
        <v>988</v>
      </c>
      <c r="E243" s="227"/>
      <c r="F243" s="227"/>
      <c r="G243" s="256"/>
      <c r="H243" s="257"/>
      <c r="I243" s="258"/>
      <c r="J243" s="257"/>
      <c r="K243" s="259"/>
      <c r="L243" s="259"/>
      <c r="M243" s="211"/>
      <c r="N243" s="67" t="s">
        <v>157</v>
      </c>
    </row>
    <row r="244" spans="2:14" ht="13" thickBot="1" x14ac:dyDescent="0.3">
      <c r="B244" s="1039" t="s">
        <v>437</v>
      </c>
      <c r="C244" s="1040"/>
      <c r="D244" s="1033"/>
      <c r="E244" s="734"/>
      <c r="F244" s="734"/>
      <c r="G244" s="740">
        <v>20000000</v>
      </c>
      <c r="H244" s="735"/>
      <c r="I244" s="736"/>
      <c r="J244" s="735"/>
      <c r="K244" s="737"/>
      <c r="L244" s="737"/>
      <c r="M244" s="731">
        <f>SUM(E244:L244)</f>
        <v>20000000</v>
      </c>
      <c r="N244" s="67" t="s">
        <v>158</v>
      </c>
    </row>
    <row r="245" spans="2:14" ht="25" customHeight="1" x14ac:dyDescent="0.25">
      <c r="B245" s="1029" t="s">
        <v>501</v>
      </c>
      <c r="C245" s="1030"/>
      <c r="D245" s="1031" t="s">
        <v>79</v>
      </c>
      <c r="E245" s="227"/>
      <c r="F245" s="227"/>
      <c r="G245" s="256"/>
      <c r="H245" s="257"/>
      <c r="I245" s="258"/>
      <c r="J245" s="257"/>
      <c r="K245" s="259"/>
      <c r="L245" s="259"/>
      <c r="M245" s="211"/>
      <c r="N245" s="67" t="s">
        <v>157</v>
      </c>
    </row>
    <row r="246" spans="2:14" ht="13" thickBot="1" x14ac:dyDescent="0.3">
      <c r="B246" s="1041" t="s">
        <v>375</v>
      </c>
      <c r="C246" s="1042"/>
      <c r="D246" s="1033"/>
      <c r="E246" s="233">
        <v>0</v>
      </c>
      <c r="F246" s="233">
        <v>0</v>
      </c>
      <c r="G246" s="676">
        <v>240400000</v>
      </c>
      <c r="H246" s="235">
        <v>0</v>
      </c>
      <c r="I246" s="236">
        <v>0</v>
      </c>
      <c r="J246" s="235">
        <v>0</v>
      </c>
      <c r="K246" s="237">
        <v>0</v>
      </c>
      <c r="L246" s="237">
        <v>0</v>
      </c>
      <c r="M246" s="213">
        <f>SUM(E246:L246)</f>
        <v>240400000</v>
      </c>
      <c r="N246" s="67" t="s">
        <v>158</v>
      </c>
    </row>
    <row r="247" spans="2:14" ht="25" customHeight="1" x14ac:dyDescent="0.25">
      <c r="B247" s="1029" t="s">
        <v>501</v>
      </c>
      <c r="C247" s="1030"/>
      <c r="D247" s="1031" t="s">
        <v>988</v>
      </c>
      <c r="E247" s="227"/>
      <c r="F247" s="227"/>
      <c r="G247" s="741"/>
      <c r="H247" s="257"/>
      <c r="I247" s="258"/>
      <c r="J247" s="257"/>
      <c r="K247" s="259"/>
      <c r="L247" s="259"/>
      <c r="M247" s="211"/>
      <c r="N247" s="67" t="s">
        <v>157</v>
      </c>
    </row>
    <row r="248" spans="2:14" ht="13" thickBot="1" x14ac:dyDescent="0.3">
      <c r="B248" s="1041" t="s">
        <v>375</v>
      </c>
      <c r="C248" s="1042"/>
      <c r="D248" s="1033"/>
      <c r="E248" s="233"/>
      <c r="F248" s="233"/>
      <c r="G248" s="676">
        <v>240400000</v>
      </c>
      <c r="H248" s="235"/>
      <c r="I248" s="236"/>
      <c r="J248" s="235"/>
      <c r="K248" s="237"/>
      <c r="L248" s="237"/>
      <c r="M248" s="213">
        <f>SUM(E248:L248)</f>
        <v>240400000</v>
      </c>
      <c r="N248" s="67" t="s">
        <v>158</v>
      </c>
    </row>
    <row r="249" spans="2:14" x14ac:dyDescent="0.25">
      <c r="B249" s="1029" t="s">
        <v>308</v>
      </c>
      <c r="C249" s="1030"/>
      <c r="D249" s="1031" t="s">
        <v>79</v>
      </c>
      <c r="E249" s="227"/>
      <c r="F249" s="227"/>
      <c r="G249" s="256"/>
      <c r="H249" s="257"/>
      <c r="I249" s="258"/>
      <c r="J249" s="257"/>
      <c r="K249" s="259"/>
      <c r="L249" s="259"/>
      <c r="M249" s="211"/>
      <c r="N249" s="67"/>
    </row>
    <row r="250" spans="2:14" x14ac:dyDescent="0.25">
      <c r="B250" s="1034" t="s">
        <v>307</v>
      </c>
      <c r="C250" s="1035"/>
      <c r="D250" s="1032"/>
      <c r="E250" s="235">
        <v>3000000</v>
      </c>
      <c r="F250" s="235">
        <v>389983</v>
      </c>
      <c r="G250" s="234">
        <v>217406866</v>
      </c>
      <c r="H250" s="235">
        <v>3185000</v>
      </c>
      <c r="I250" s="236"/>
      <c r="J250" s="235"/>
      <c r="K250" s="237">
        <v>4000000</v>
      </c>
      <c r="L250" s="237"/>
      <c r="M250" s="213">
        <f>SUM(E250:L250)</f>
        <v>227981849</v>
      </c>
      <c r="N250" s="67" t="s">
        <v>157</v>
      </c>
    </row>
    <row r="251" spans="2:14" ht="13" thickBot="1" x14ac:dyDescent="0.3">
      <c r="B251" s="281"/>
      <c r="C251" s="792"/>
      <c r="D251" s="1033"/>
      <c r="E251" s="228"/>
      <c r="F251" s="228"/>
      <c r="G251" s="229"/>
      <c r="H251" s="230"/>
      <c r="I251" s="231"/>
      <c r="J251" s="230"/>
      <c r="K251" s="232"/>
      <c r="L251" s="232"/>
      <c r="M251" s="213">
        <f>SUM(E251:L251)</f>
        <v>0</v>
      </c>
      <c r="N251" s="67" t="s">
        <v>158</v>
      </c>
    </row>
    <row r="252" spans="2:14" x14ac:dyDescent="0.25">
      <c r="B252" s="1029" t="s">
        <v>308</v>
      </c>
      <c r="C252" s="1030"/>
      <c r="D252" s="1031" t="s">
        <v>988</v>
      </c>
      <c r="E252" s="823">
        <v>3000000</v>
      </c>
      <c r="F252" s="823">
        <v>389983</v>
      </c>
      <c r="G252" s="234">
        <v>217406866</v>
      </c>
      <c r="H252" s="235">
        <v>3185000</v>
      </c>
      <c r="I252" s="236"/>
      <c r="J252" s="235"/>
      <c r="K252" s="237">
        <v>4000000</v>
      </c>
      <c r="L252" s="237"/>
      <c r="M252" s="211">
        <f>SUM(E252:L252)</f>
        <v>227981849</v>
      </c>
      <c r="N252" s="67" t="s">
        <v>157</v>
      </c>
    </row>
    <row r="253" spans="2:14" ht="13" thickBot="1" x14ac:dyDescent="0.3">
      <c r="B253" s="1034" t="s">
        <v>307</v>
      </c>
      <c r="C253" s="1035"/>
      <c r="D253" s="1033"/>
      <c r="E253" s="233"/>
      <c r="F253" s="233"/>
      <c r="G253" s="234"/>
      <c r="H253" s="235"/>
      <c r="I253" s="236"/>
      <c r="J253" s="235"/>
      <c r="K253" s="237"/>
      <c r="L253" s="237"/>
      <c r="M253" s="213"/>
      <c r="N253" s="67" t="s">
        <v>158</v>
      </c>
    </row>
    <row r="254" spans="2:14" ht="33.5" customHeight="1" x14ac:dyDescent="0.25">
      <c r="B254" s="959" t="s">
        <v>803</v>
      </c>
      <c r="C254" s="960"/>
      <c r="D254" s="1022" t="s">
        <v>79</v>
      </c>
      <c r="E254" s="216"/>
      <c r="F254" s="216"/>
      <c r="G254" s="216"/>
      <c r="H254" s="211"/>
      <c r="I254" s="216"/>
      <c r="J254" s="211"/>
      <c r="K254" s="214"/>
      <c r="L254" s="214"/>
      <c r="M254" s="211">
        <v>0</v>
      </c>
      <c r="N254" s="67"/>
    </row>
    <row r="255" spans="2:14" x14ac:dyDescent="0.25">
      <c r="B255" s="1037" t="s">
        <v>1022</v>
      </c>
      <c r="C255" s="1038"/>
      <c r="D255" s="1036"/>
      <c r="E255" s="217">
        <v>23458446</v>
      </c>
      <c r="F255" s="217">
        <v>7233984</v>
      </c>
      <c r="G255" s="217">
        <v>19420480</v>
      </c>
      <c r="H255" s="213"/>
      <c r="I255" s="217">
        <v>0</v>
      </c>
      <c r="J255" s="213"/>
      <c r="K255" s="215"/>
      <c r="L255" s="215"/>
      <c r="M255" s="213">
        <f>E255+F255+G255+H255+I255+J255</f>
        <v>50112910</v>
      </c>
      <c r="N255" s="67" t="s">
        <v>157</v>
      </c>
    </row>
    <row r="256" spans="2:14" ht="13" thickBot="1" x14ac:dyDescent="0.3">
      <c r="B256" s="406"/>
      <c r="C256" s="35"/>
      <c r="D256" s="1023"/>
      <c r="E256" s="217"/>
      <c r="F256" s="217"/>
      <c r="G256" s="217"/>
      <c r="H256" s="213"/>
      <c r="I256" s="217"/>
      <c r="J256" s="213"/>
      <c r="K256" s="215"/>
      <c r="L256" s="215"/>
      <c r="M256" s="213">
        <f>E256+F256+G256+H256+I256+J256</f>
        <v>0</v>
      </c>
      <c r="N256" s="67" t="s">
        <v>158</v>
      </c>
    </row>
    <row r="257" spans="2:14" ht="31.5" customHeight="1" x14ac:dyDescent="0.25">
      <c r="B257" s="959" t="s">
        <v>803</v>
      </c>
      <c r="C257" s="960"/>
      <c r="D257" s="998" t="s">
        <v>988</v>
      </c>
      <c r="E257" s="216">
        <f>23458446-270000+759054-200000</f>
        <v>23747500</v>
      </c>
      <c r="F257" s="216">
        <f>7233984-6000</f>
        <v>7227984</v>
      </c>
      <c r="G257" s="216">
        <f>19420480+270000+6000-759054</f>
        <v>18937426</v>
      </c>
      <c r="H257" s="211"/>
      <c r="I257" s="216"/>
      <c r="J257" s="211"/>
      <c r="K257" s="214"/>
      <c r="L257" s="214"/>
      <c r="M257" s="211">
        <f>SUM(E257:L257)</f>
        <v>49912910</v>
      </c>
      <c r="N257" s="67" t="s">
        <v>157</v>
      </c>
    </row>
    <row r="258" spans="2:14" ht="13" thickBot="1" x14ac:dyDescent="0.3">
      <c r="B258" s="1037" t="s">
        <v>1022</v>
      </c>
      <c r="C258" s="1038"/>
      <c r="D258" s="999"/>
      <c r="E258" s="217"/>
      <c r="F258" s="217"/>
      <c r="G258" s="217"/>
      <c r="H258" s="213"/>
      <c r="I258" s="217"/>
      <c r="J258" s="213"/>
      <c r="K258" s="215"/>
      <c r="L258" s="215"/>
      <c r="M258" s="731">
        <f>SUM(E258:L258)</f>
        <v>0</v>
      </c>
      <c r="N258" s="67" t="s">
        <v>158</v>
      </c>
    </row>
    <row r="259" spans="2:14" x14ac:dyDescent="0.25">
      <c r="B259" s="1007" t="s">
        <v>1023</v>
      </c>
      <c r="C259" s="1008"/>
      <c r="D259" s="998" t="s">
        <v>79</v>
      </c>
      <c r="E259" s="216">
        <v>1000000</v>
      </c>
      <c r="F259" s="216">
        <v>419608</v>
      </c>
      <c r="G259" s="216"/>
      <c r="H259" s="216"/>
      <c r="I259" s="216"/>
      <c r="J259" s="211"/>
      <c r="K259" s="214"/>
      <c r="L259" s="214"/>
      <c r="M259" s="211">
        <f>SUM(E259:L259)</f>
        <v>1419608</v>
      </c>
      <c r="N259" s="67" t="s">
        <v>157</v>
      </c>
    </row>
    <row r="260" spans="2:14" ht="13" thickBot="1" x14ac:dyDescent="0.3">
      <c r="B260" s="1011" t="s">
        <v>374</v>
      </c>
      <c r="C260" s="1012"/>
      <c r="D260" s="999"/>
      <c r="E260" s="219"/>
      <c r="F260" s="219"/>
      <c r="G260" s="219">
        <v>126755931</v>
      </c>
      <c r="H260" s="219"/>
      <c r="I260" s="219"/>
      <c r="J260" s="226"/>
      <c r="K260" s="238"/>
      <c r="L260" s="238"/>
      <c r="M260" s="226">
        <f>E260+F260+G260+H260+I260+J260</f>
        <v>126755931</v>
      </c>
      <c r="N260" s="67" t="s">
        <v>158</v>
      </c>
    </row>
    <row r="261" spans="2:14" x14ac:dyDescent="0.25">
      <c r="B261" s="1007" t="s">
        <v>1023</v>
      </c>
      <c r="C261" s="1008"/>
      <c r="D261" s="998" t="s">
        <v>988</v>
      </c>
      <c r="E261" s="217">
        <v>1000000</v>
      </c>
      <c r="F261" s="217">
        <v>419608</v>
      </c>
      <c r="G261" s="217"/>
      <c r="H261" s="217"/>
      <c r="I261" s="217"/>
      <c r="J261" s="213"/>
      <c r="K261" s="215"/>
      <c r="L261" s="215"/>
      <c r="M261" s="213">
        <f t="shared" ref="M261:M269" si="41">SUM(E261:L261)</f>
        <v>1419608</v>
      </c>
      <c r="N261" s="67" t="s">
        <v>157</v>
      </c>
    </row>
    <row r="262" spans="2:14" ht="13" thickBot="1" x14ac:dyDescent="0.3">
      <c r="B262" s="1011" t="s">
        <v>374</v>
      </c>
      <c r="C262" s="1012"/>
      <c r="D262" s="999"/>
      <c r="E262" s="217"/>
      <c r="F262" s="217"/>
      <c r="G262" s="217">
        <f>126755931+2787650+9597390+6350000</f>
        <v>145490971</v>
      </c>
      <c r="H262" s="217"/>
      <c r="I262" s="217"/>
      <c r="J262" s="213"/>
      <c r="K262" s="215"/>
      <c r="L262" s="215"/>
      <c r="M262" s="213">
        <f t="shared" si="41"/>
        <v>145490971</v>
      </c>
      <c r="N262" s="67" t="s">
        <v>158</v>
      </c>
    </row>
    <row r="263" spans="2:14" ht="33.5" customHeight="1" x14ac:dyDescent="0.25">
      <c r="B263" s="959" t="s">
        <v>504</v>
      </c>
      <c r="C263" s="960"/>
      <c r="D263" s="998" t="s">
        <v>79</v>
      </c>
      <c r="E263" s="211"/>
      <c r="F263" s="211"/>
      <c r="G263" s="211">
        <v>1713792</v>
      </c>
      <c r="H263" s="216"/>
      <c r="I263" s="216">
        <v>32040095</v>
      </c>
      <c r="J263" s="211"/>
      <c r="K263" s="214"/>
      <c r="L263" s="211"/>
      <c r="M263" s="211">
        <f t="shared" si="41"/>
        <v>33753887</v>
      </c>
      <c r="N263" s="67" t="s">
        <v>157</v>
      </c>
    </row>
    <row r="264" spans="2:14" ht="13" thickBot="1" x14ac:dyDescent="0.3">
      <c r="B264" s="1011" t="s">
        <v>505</v>
      </c>
      <c r="C264" s="1013"/>
      <c r="D264" s="999"/>
      <c r="E264" s="226">
        <v>82813253</v>
      </c>
      <c r="F264" s="226">
        <v>11273480</v>
      </c>
      <c r="G264" s="226">
        <v>40139953</v>
      </c>
      <c r="H264" s="219">
        <v>0</v>
      </c>
      <c r="I264" s="219"/>
      <c r="J264" s="226"/>
      <c r="K264" s="238">
        <v>50000000</v>
      </c>
      <c r="L264" s="226"/>
      <c r="M264" s="226">
        <f t="shared" si="41"/>
        <v>184226686</v>
      </c>
      <c r="N264" s="67" t="s">
        <v>158</v>
      </c>
    </row>
    <row r="265" spans="2:14" ht="30" customHeight="1" x14ac:dyDescent="0.25">
      <c r="B265" s="959" t="s">
        <v>504</v>
      </c>
      <c r="C265" s="960"/>
      <c r="D265" s="998" t="s">
        <v>988</v>
      </c>
      <c r="E265" s="213"/>
      <c r="F265" s="213"/>
      <c r="G265" s="213">
        <v>1713792</v>
      </c>
      <c r="H265" s="217"/>
      <c r="I265" s="217">
        <f>32040095-601950</f>
        <v>31438145</v>
      </c>
      <c r="J265" s="213"/>
      <c r="K265" s="215"/>
      <c r="L265" s="213"/>
      <c r="M265" s="213">
        <f t="shared" si="41"/>
        <v>33151937</v>
      </c>
      <c r="N265" s="67" t="s">
        <v>157</v>
      </c>
    </row>
    <row r="266" spans="2:14" ht="13" thickBot="1" x14ac:dyDescent="0.3">
      <c r="B266" s="1011" t="s">
        <v>505</v>
      </c>
      <c r="C266" s="1013"/>
      <c r="D266" s="999"/>
      <c r="E266" s="213">
        <f>82813253+1199150</f>
        <v>84012403</v>
      </c>
      <c r="F266" s="213">
        <f>11273480+155890</f>
        <v>11429370</v>
      </c>
      <c r="G266" s="213">
        <v>40139953</v>
      </c>
      <c r="H266" s="217"/>
      <c r="I266" s="217"/>
      <c r="J266" s="213"/>
      <c r="K266" s="215">
        <f>50000000+4198471+511212+1160690+15877102-15877102-20000000</f>
        <v>35870373</v>
      </c>
      <c r="L266" s="213"/>
      <c r="M266" s="213">
        <f t="shared" si="41"/>
        <v>171452099</v>
      </c>
      <c r="N266" s="67" t="s">
        <v>158</v>
      </c>
    </row>
    <row r="267" spans="2:14" ht="30.5" customHeight="1" x14ac:dyDescent="0.25">
      <c r="B267" s="959" t="s">
        <v>502</v>
      </c>
      <c r="C267" s="960"/>
      <c r="D267" s="998" t="s">
        <v>79</v>
      </c>
      <c r="E267" s="211"/>
      <c r="F267" s="211"/>
      <c r="G267" s="211">
        <v>3851366</v>
      </c>
      <c r="H267" s="216"/>
      <c r="I267" s="216"/>
      <c r="J267" s="211"/>
      <c r="K267" s="214"/>
      <c r="L267" s="211"/>
      <c r="M267" s="211">
        <f t="shared" si="41"/>
        <v>3851366</v>
      </c>
      <c r="N267" s="67" t="s">
        <v>157</v>
      </c>
    </row>
    <row r="268" spans="2:14" ht="13" thickBot="1" x14ac:dyDescent="0.3">
      <c r="B268" s="1000" t="s">
        <v>503</v>
      </c>
      <c r="C268" s="1001"/>
      <c r="D268" s="999"/>
      <c r="E268" s="213"/>
      <c r="F268" s="213"/>
      <c r="G268" s="213"/>
      <c r="H268" s="217"/>
      <c r="I268" s="217"/>
      <c r="J268" s="213"/>
      <c r="K268" s="215"/>
      <c r="L268" s="213"/>
      <c r="M268" s="226">
        <f t="shared" si="41"/>
        <v>0</v>
      </c>
      <c r="N268" s="67" t="s">
        <v>158</v>
      </c>
    </row>
    <row r="269" spans="2:14" ht="31" customHeight="1" x14ac:dyDescent="0.25">
      <c r="B269" s="959" t="s">
        <v>502</v>
      </c>
      <c r="C269" s="960"/>
      <c r="D269" s="998" t="s">
        <v>988</v>
      </c>
      <c r="E269" s="211"/>
      <c r="F269" s="211"/>
      <c r="G269" s="211">
        <v>3851366</v>
      </c>
      <c r="H269" s="216"/>
      <c r="I269" s="216"/>
      <c r="J269" s="211"/>
      <c r="K269" s="214"/>
      <c r="L269" s="211"/>
      <c r="M269" s="213">
        <f t="shared" si="41"/>
        <v>3851366</v>
      </c>
      <c r="N269" s="67" t="s">
        <v>157</v>
      </c>
    </row>
    <row r="270" spans="2:14" ht="13" thickBot="1" x14ac:dyDescent="0.3">
      <c r="B270" s="1000" t="s">
        <v>503</v>
      </c>
      <c r="C270" s="1001"/>
      <c r="D270" s="999"/>
      <c r="E270" s="731"/>
      <c r="F270" s="731"/>
      <c r="G270" s="731"/>
      <c r="H270" s="742"/>
      <c r="I270" s="742"/>
      <c r="J270" s="731"/>
      <c r="K270" s="743"/>
      <c r="L270" s="731"/>
      <c r="M270" s="213"/>
      <c r="N270" s="67" t="s">
        <v>158</v>
      </c>
    </row>
    <row r="271" spans="2:14" ht="18.5" customHeight="1" x14ac:dyDescent="0.25">
      <c r="B271" s="1020" t="s">
        <v>749</v>
      </c>
      <c r="C271" s="1021"/>
      <c r="D271" s="1026" t="s">
        <v>79</v>
      </c>
      <c r="E271" s="211"/>
      <c r="F271" s="211"/>
      <c r="G271" s="211"/>
      <c r="H271" s="216"/>
      <c r="I271" s="216"/>
      <c r="J271" s="211"/>
      <c r="K271" s="214"/>
      <c r="L271" s="211"/>
      <c r="M271" s="211"/>
      <c r="N271" s="67"/>
    </row>
    <row r="272" spans="2:14" ht="19.5" customHeight="1" x14ac:dyDescent="0.25">
      <c r="B272" s="1024"/>
      <c r="C272" s="1025"/>
      <c r="D272" s="1027"/>
      <c r="E272" s="213">
        <v>200000</v>
      </c>
      <c r="F272" s="213">
        <v>23400</v>
      </c>
      <c r="G272" s="213">
        <v>952136</v>
      </c>
      <c r="H272" s="217"/>
      <c r="I272" s="217"/>
      <c r="J272" s="213"/>
      <c r="K272" s="215"/>
      <c r="L272" s="213"/>
      <c r="M272" s="213">
        <f>SUM(E272:L272)</f>
        <v>1175536</v>
      </c>
      <c r="N272" s="67" t="s">
        <v>157</v>
      </c>
    </row>
    <row r="273" spans="2:14" ht="13" thickBot="1" x14ac:dyDescent="0.3">
      <c r="B273" s="1011" t="s">
        <v>750</v>
      </c>
      <c r="C273" s="1013"/>
      <c r="D273" s="1028"/>
      <c r="E273" s="226"/>
      <c r="F273" s="226"/>
      <c r="G273" s="226"/>
      <c r="H273" s="219"/>
      <c r="I273" s="219"/>
      <c r="J273" s="226"/>
      <c r="K273" s="238"/>
      <c r="L273" s="226"/>
      <c r="M273" s="226">
        <f>SUM(E273:L273)</f>
        <v>0</v>
      </c>
      <c r="N273" s="67" t="s">
        <v>158</v>
      </c>
    </row>
    <row r="274" spans="2:14" ht="29" customHeight="1" x14ac:dyDescent="0.25">
      <c r="B274" s="1020" t="s">
        <v>749</v>
      </c>
      <c r="C274" s="1021"/>
      <c r="D274" s="998" t="s">
        <v>988</v>
      </c>
      <c r="E274" s="213">
        <v>200000</v>
      </c>
      <c r="F274" s="213">
        <v>23400</v>
      </c>
      <c r="G274" s="213">
        <v>952136</v>
      </c>
      <c r="H274" s="217"/>
      <c r="I274" s="217"/>
      <c r="J274" s="213"/>
      <c r="K274" s="215"/>
      <c r="L274" s="213"/>
      <c r="M274" s="213">
        <f>SUM(E274:L274)</f>
        <v>1175536</v>
      </c>
      <c r="N274" s="67" t="s">
        <v>157</v>
      </c>
    </row>
    <row r="275" spans="2:14" ht="13" thickBot="1" x14ac:dyDescent="0.3">
      <c r="B275" s="1011" t="s">
        <v>750</v>
      </c>
      <c r="C275" s="1013"/>
      <c r="D275" s="999"/>
      <c r="E275" s="213"/>
      <c r="F275" s="213"/>
      <c r="G275" s="213"/>
      <c r="H275" s="217"/>
      <c r="I275" s="217"/>
      <c r="J275" s="213"/>
      <c r="K275" s="215"/>
      <c r="L275" s="213"/>
      <c r="M275" s="213"/>
      <c r="N275" s="67" t="s">
        <v>158</v>
      </c>
    </row>
    <row r="276" spans="2:14" ht="25" customHeight="1" x14ac:dyDescent="0.25">
      <c r="B276" s="959" t="s">
        <v>309</v>
      </c>
      <c r="C276" s="960"/>
      <c r="D276" s="998" t="s">
        <v>79</v>
      </c>
      <c r="E276" s="211"/>
      <c r="F276" s="211"/>
      <c r="G276" s="211"/>
      <c r="H276" s="216"/>
      <c r="I276" s="216"/>
      <c r="J276" s="211"/>
      <c r="K276" s="214"/>
      <c r="L276" s="211"/>
      <c r="M276" s="211"/>
      <c r="N276" s="67"/>
    </row>
    <row r="277" spans="2:14" x14ac:dyDescent="0.25">
      <c r="B277" s="1000" t="s">
        <v>1024</v>
      </c>
      <c r="C277" s="1001"/>
      <c r="D277" s="1006"/>
      <c r="E277" s="213"/>
      <c r="F277" s="213"/>
      <c r="G277" s="213"/>
      <c r="H277" s="217"/>
      <c r="I277" s="217"/>
      <c r="J277" s="213"/>
      <c r="K277" s="215"/>
      <c r="L277" s="213"/>
      <c r="M277" s="213">
        <f>E277+F277+G277+H277+I277+J277+K277</f>
        <v>0</v>
      </c>
      <c r="N277" s="67" t="s">
        <v>157</v>
      </c>
    </row>
    <row r="278" spans="2:14" ht="13" thickBot="1" x14ac:dyDescent="0.3">
      <c r="B278" s="34"/>
      <c r="C278" s="35"/>
      <c r="D278" s="999"/>
      <c r="E278" s="213"/>
      <c r="F278" s="213"/>
      <c r="G278" s="213"/>
      <c r="H278" s="217">
        <v>1000000</v>
      </c>
      <c r="I278" s="217"/>
      <c r="J278" s="213"/>
      <c r="K278" s="215"/>
      <c r="L278" s="213"/>
      <c r="M278" s="213">
        <f>E278+F278+G278+H278+I278+J278+K278</f>
        <v>1000000</v>
      </c>
      <c r="N278" s="67" t="s">
        <v>158</v>
      </c>
    </row>
    <row r="279" spans="2:14" ht="24" customHeight="1" x14ac:dyDescent="0.25">
      <c r="B279" s="959" t="s">
        <v>309</v>
      </c>
      <c r="C279" s="960"/>
      <c r="D279" s="998" t="s">
        <v>988</v>
      </c>
      <c r="E279" s="211"/>
      <c r="F279" s="211"/>
      <c r="G279" s="211"/>
      <c r="H279" s="216"/>
      <c r="I279" s="216"/>
      <c r="J279" s="211"/>
      <c r="K279" s="214"/>
      <c r="L279" s="214"/>
      <c r="M279" s="211"/>
      <c r="N279" s="67" t="s">
        <v>157</v>
      </c>
    </row>
    <row r="280" spans="2:14" ht="13" thickBot="1" x14ac:dyDescent="0.3">
      <c r="B280" s="1000" t="s">
        <v>1024</v>
      </c>
      <c r="C280" s="1001"/>
      <c r="D280" s="999"/>
      <c r="E280" s="213"/>
      <c r="F280" s="213"/>
      <c r="G280" s="213"/>
      <c r="H280" s="217">
        <v>1000000</v>
      </c>
      <c r="I280" s="217"/>
      <c r="J280" s="213"/>
      <c r="K280" s="215"/>
      <c r="L280" s="215"/>
      <c r="M280" s="213">
        <f>SUM(E280:L280)</f>
        <v>1000000</v>
      </c>
      <c r="N280" s="67" t="s">
        <v>158</v>
      </c>
    </row>
    <row r="281" spans="2:14" ht="36" customHeight="1" x14ac:dyDescent="0.25">
      <c r="B281" s="959" t="s">
        <v>310</v>
      </c>
      <c r="C281" s="960"/>
      <c r="D281" s="1022" t="s">
        <v>79</v>
      </c>
      <c r="E281" s="211"/>
      <c r="F281" s="211"/>
      <c r="G281" s="211"/>
      <c r="H281" s="216"/>
      <c r="I281" s="216"/>
      <c r="J281" s="211"/>
      <c r="K281" s="214"/>
      <c r="L281" s="214"/>
      <c r="M281" s="211">
        <f>E281+F281+G281+H281+I281+J281+K281</f>
        <v>0</v>
      </c>
      <c r="N281" s="67" t="s">
        <v>223</v>
      </c>
    </row>
    <row r="282" spans="2:14" ht="13" thickBot="1" x14ac:dyDescent="0.3">
      <c r="B282" s="1009" t="s">
        <v>1025</v>
      </c>
      <c r="C282" s="1010"/>
      <c r="D282" s="1023"/>
      <c r="E282" s="213"/>
      <c r="F282" s="213"/>
      <c r="G282" s="213"/>
      <c r="H282" s="217">
        <v>1345141011</v>
      </c>
      <c r="I282" s="217"/>
      <c r="J282" s="213"/>
      <c r="K282" s="215"/>
      <c r="L282" s="215">
        <v>132053794</v>
      </c>
      <c r="M282" s="213">
        <f>E282+F282+G282+H282+I282+J282+K282+L282</f>
        <v>1477194805</v>
      </c>
      <c r="N282" s="67" t="s">
        <v>158</v>
      </c>
    </row>
    <row r="283" spans="2:14" ht="30" customHeight="1" x14ac:dyDescent="0.25">
      <c r="B283" s="959" t="s">
        <v>310</v>
      </c>
      <c r="C283" s="960"/>
      <c r="D283" s="998" t="s">
        <v>988</v>
      </c>
      <c r="E283" s="211"/>
      <c r="F283" s="211"/>
      <c r="G283" s="211"/>
      <c r="H283" s="216"/>
      <c r="I283" s="216"/>
      <c r="J283" s="211"/>
      <c r="K283" s="214"/>
      <c r="L283" s="214"/>
      <c r="M283" s="211"/>
      <c r="N283" s="67" t="s">
        <v>223</v>
      </c>
    </row>
    <row r="284" spans="2:14" ht="13" thickBot="1" x14ac:dyDescent="0.3">
      <c r="B284" s="1009" t="s">
        <v>1025</v>
      </c>
      <c r="C284" s="1010"/>
      <c r="D284" s="999"/>
      <c r="E284" s="731"/>
      <c r="F284" s="731"/>
      <c r="G284" s="731"/>
      <c r="H284" s="742">
        <f>1345141011+12428938</f>
        <v>1357569949</v>
      </c>
      <c r="I284" s="742"/>
      <c r="J284" s="731"/>
      <c r="K284" s="743"/>
      <c r="L284" s="743">
        <f>132053794+352558</f>
        <v>132406352</v>
      </c>
      <c r="M284" s="731">
        <f>SUM(E284:L284)</f>
        <v>1489976301</v>
      </c>
      <c r="N284" s="67" t="s">
        <v>158</v>
      </c>
    </row>
    <row r="285" spans="2:14" x14ac:dyDescent="0.25">
      <c r="B285" s="1007" t="s">
        <v>222</v>
      </c>
      <c r="C285" s="1008"/>
      <c r="D285" s="998" t="s">
        <v>79</v>
      </c>
      <c r="E285" s="211"/>
      <c r="F285" s="211"/>
      <c r="G285" s="211"/>
      <c r="H285" s="216"/>
      <c r="I285" s="216"/>
      <c r="J285" s="211"/>
      <c r="K285" s="214"/>
      <c r="L285" s="214"/>
      <c r="M285" s="211">
        <f>E285+F285+G285+H285+I285+J285+K285+L285</f>
        <v>0</v>
      </c>
      <c r="N285" s="67" t="s">
        <v>157</v>
      </c>
    </row>
    <row r="286" spans="2:14" ht="13" thickBot="1" x14ac:dyDescent="0.3">
      <c r="B286" s="1019">
        <v>900060</v>
      </c>
      <c r="C286" s="1001"/>
      <c r="D286" s="999"/>
      <c r="E286" s="213"/>
      <c r="F286" s="213"/>
      <c r="G286" s="213">
        <v>1580000</v>
      </c>
      <c r="H286" s="217"/>
      <c r="I286" s="217"/>
      <c r="J286" s="213"/>
      <c r="K286" s="215"/>
      <c r="L286" s="215"/>
      <c r="M286" s="213">
        <f>E286+F286+G286+H286+I286+J286+K286+L286</f>
        <v>1580000</v>
      </c>
      <c r="N286" s="67" t="s">
        <v>158</v>
      </c>
    </row>
    <row r="287" spans="2:14" x14ac:dyDescent="0.25">
      <c r="B287" s="1007" t="s">
        <v>222</v>
      </c>
      <c r="C287" s="1008"/>
      <c r="D287" s="998" t="s">
        <v>988</v>
      </c>
      <c r="E287" s="211"/>
      <c r="F287" s="211"/>
      <c r="G287" s="211"/>
      <c r="H287" s="216"/>
      <c r="I287" s="216"/>
      <c r="J287" s="211"/>
      <c r="K287" s="214"/>
      <c r="L287" s="214"/>
      <c r="M287" s="211"/>
      <c r="N287" s="67" t="s">
        <v>157</v>
      </c>
    </row>
    <row r="288" spans="2:14" ht="13" thickBot="1" x14ac:dyDescent="0.3">
      <c r="B288" s="1019">
        <v>900060</v>
      </c>
      <c r="C288" s="1001"/>
      <c r="D288" s="999"/>
      <c r="E288" s="731"/>
      <c r="F288" s="731"/>
      <c r="G288" s="731">
        <v>1580000</v>
      </c>
      <c r="H288" s="742"/>
      <c r="I288" s="742"/>
      <c r="J288" s="731"/>
      <c r="K288" s="743"/>
      <c r="L288" s="743"/>
      <c r="M288" s="731">
        <f>SUM(E288:L288)</f>
        <v>1580000</v>
      </c>
      <c r="N288" s="67" t="s">
        <v>158</v>
      </c>
    </row>
    <row r="289" spans="2:14" x14ac:dyDescent="0.25">
      <c r="B289" s="1007" t="s">
        <v>1026</v>
      </c>
      <c r="C289" s="1008"/>
      <c r="D289" s="998" t="s">
        <v>79</v>
      </c>
      <c r="E289" s="211"/>
      <c r="F289" s="211"/>
      <c r="G289" s="211"/>
      <c r="H289" s="216"/>
      <c r="I289" s="216"/>
      <c r="J289" s="211"/>
      <c r="K289" s="214"/>
      <c r="L289" s="214"/>
      <c r="M289" s="211">
        <f>E289+F289+G289+H289+I289+J289+K289+L289</f>
        <v>0</v>
      </c>
      <c r="N289" s="67" t="s">
        <v>157</v>
      </c>
    </row>
    <row r="290" spans="2:14" ht="13" thickBot="1" x14ac:dyDescent="0.3">
      <c r="B290" s="1011" t="s">
        <v>371</v>
      </c>
      <c r="C290" s="1013"/>
      <c r="D290" s="999"/>
      <c r="E290" s="213"/>
      <c r="F290" s="213"/>
      <c r="G290" s="213"/>
      <c r="H290" s="217">
        <v>15000000</v>
      </c>
      <c r="I290" s="217"/>
      <c r="J290" s="213"/>
      <c r="K290" s="218">
        <v>44000000</v>
      </c>
      <c r="L290" s="215"/>
      <c r="M290" s="213">
        <f>E290+F290+G290+H290+I290+J290+K290+L290</f>
        <v>59000000</v>
      </c>
      <c r="N290" s="67" t="s">
        <v>158</v>
      </c>
    </row>
    <row r="291" spans="2:14" x14ac:dyDescent="0.25">
      <c r="B291" s="1007" t="s">
        <v>1026</v>
      </c>
      <c r="C291" s="1008"/>
      <c r="D291" s="998" t="s">
        <v>988</v>
      </c>
      <c r="E291" s="211"/>
      <c r="F291" s="211"/>
      <c r="G291" s="211"/>
      <c r="H291" s="216">
        <v>200000</v>
      </c>
      <c r="I291" s="216"/>
      <c r="J291" s="211"/>
      <c r="K291" s="744"/>
      <c r="L291" s="214"/>
      <c r="M291" s="211">
        <f>SUM(E291:L291)</f>
        <v>200000</v>
      </c>
      <c r="N291" s="67" t="s">
        <v>157</v>
      </c>
    </row>
    <row r="292" spans="2:14" ht="13" thickBot="1" x14ac:dyDescent="0.3">
      <c r="B292" s="1011" t="s">
        <v>371</v>
      </c>
      <c r="C292" s="1013"/>
      <c r="D292" s="999"/>
      <c r="E292" s="213"/>
      <c r="F292" s="213"/>
      <c r="G292" s="213"/>
      <c r="H292" s="217">
        <f>15000000-12428938</f>
        <v>2571062</v>
      </c>
      <c r="I292" s="217"/>
      <c r="J292" s="213"/>
      <c r="K292" s="218">
        <f>44000000-7940684-6546740</f>
        <v>29512576</v>
      </c>
      <c r="L292" s="215"/>
      <c r="M292" s="213">
        <f>SUM(E292:L292)</f>
        <v>32083638</v>
      </c>
      <c r="N292" s="67" t="s">
        <v>158</v>
      </c>
    </row>
    <row r="293" spans="2:14" x14ac:dyDescent="0.25">
      <c r="B293" s="1007" t="s">
        <v>1027</v>
      </c>
      <c r="C293" s="1008"/>
      <c r="D293" s="998" t="s">
        <v>79</v>
      </c>
      <c r="E293" s="211">
        <v>795400</v>
      </c>
      <c r="F293" s="211">
        <v>248206</v>
      </c>
      <c r="G293" s="211"/>
      <c r="H293" s="216">
        <v>780000</v>
      </c>
      <c r="I293" s="216">
        <v>2050000</v>
      </c>
      <c r="J293" s="211"/>
      <c r="K293" s="214"/>
      <c r="L293" s="214"/>
      <c r="M293" s="211">
        <f t="shared" ref="M293:M294" si="42">E293+F293+G293+H293+I293+J293+K293</f>
        <v>3873606</v>
      </c>
      <c r="N293" s="67" t="s">
        <v>157</v>
      </c>
    </row>
    <row r="294" spans="2:14" ht="13" thickBot="1" x14ac:dyDescent="0.3">
      <c r="B294" s="1011" t="s">
        <v>1028</v>
      </c>
      <c r="C294" s="1012"/>
      <c r="D294" s="999"/>
      <c r="E294" s="213"/>
      <c r="F294" s="213"/>
      <c r="G294" s="213">
        <v>3781200</v>
      </c>
      <c r="H294" s="217"/>
      <c r="I294" s="217"/>
      <c r="J294" s="213"/>
      <c r="K294" s="215">
        <v>37000000</v>
      </c>
      <c r="L294" s="215"/>
      <c r="M294" s="226">
        <f t="shared" si="42"/>
        <v>40781200</v>
      </c>
      <c r="N294" s="67" t="s">
        <v>158</v>
      </c>
    </row>
    <row r="295" spans="2:14" x14ac:dyDescent="0.25">
      <c r="B295" s="1007" t="s">
        <v>1027</v>
      </c>
      <c r="C295" s="1008"/>
      <c r="D295" s="998" t="s">
        <v>988</v>
      </c>
      <c r="E295" s="211">
        <v>795400</v>
      </c>
      <c r="F295" s="211">
        <v>248206</v>
      </c>
      <c r="G295" s="211"/>
      <c r="H295" s="216">
        <v>780000</v>
      </c>
      <c r="I295" s="216">
        <v>2050000</v>
      </c>
      <c r="J295" s="211"/>
      <c r="K295" s="214"/>
      <c r="L295" s="214"/>
      <c r="M295" s="213">
        <f>SUM(E295:L295)</f>
        <v>3873606</v>
      </c>
      <c r="N295" s="67" t="s">
        <v>157</v>
      </c>
    </row>
    <row r="296" spans="2:14" ht="13" thickBot="1" x14ac:dyDescent="0.3">
      <c r="B296" s="1011" t="s">
        <v>1028</v>
      </c>
      <c r="C296" s="1012"/>
      <c r="D296" s="999"/>
      <c r="E296" s="213"/>
      <c r="F296" s="213"/>
      <c r="G296" s="213">
        <v>3781200</v>
      </c>
      <c r="H296" s="217"/>
      <c r="I296" s="217"/>
      <c r="J296" s="213"/>
      <c r="K296" s="215">
        <f>37000000-16862138</f>
        <v>20137862</v>
      </c>
      <c r="L296" s="215"/>
      <c r="M296" s="213">
        <f>SUM(E296:L296)</f>
        <v>23919062</v>
      </c>
      <c r="N296" s="67" t="s">
        <v>158</v>
      </c>
    </row>
    <row r="297" spans="2:14" x14ac:dyDescent="0.25">
      <c r="B297" s="1007" t="s">
        <v>225</v>
      </c>
      <c r="C297" s="1008"/>
      <c r="D297" s="998" t="s">
        <v>79</v>
      </c>
      <c r="E297" s="211"/>
      <c r="F297" s="211"/>
      <c r="G297" s="211"/>
      <c r="H297" s="216"/>
      <c r="I297" s="216"/>
      <c r="J297" s="211"/>
      <c r="K297" s="214"/>
      <c r="L297" s="214"/>
      <c r="M297" s="211">
        <f t="shared" ref="M297:M299" si="43">E297+F297+G297+H297+I297+J297+K297</f>
        <v>0</v>
      </c>
      <c r="N297" s="67" t="s">
        <v>157</v>
      </c>
    </row>
    <row r="298" spans="2:14" ht="25" customHeight="1" thickBot="1" x14ac:dyDescent="0.3">
      <c r="B298" s="961" t="s">
        <v>226</v>
      </c>
      <c r="C298" s="962"/>
      <c r="D298" s="999"/>
      <c r="E298" s="226">
        <v>41797823</v>
      </c>
      <c r="F298" s="226">
        <v>5546217</v>
      </c>
      <c r="G298" s="226">
        <v>4955724</v>
      </c>
      <c r="H298" s="219"/>
      <c r="I298" s="219"/>
      <c r="J298" s="226"/>
      <c r="K298" s="238"/>
      <c r="L298" s="238"/>
      <c r="M298" s="226">
        <f t="shared" si="43"/>
        <v>52299764</v>
      </c>
      <c r="N298" s="67" t="s">
        <v>158</v>
      </c>
    </row>
    <row r="299" spans="2:14" x14ac:dyDescent="0.25">
      <c r="B299" s="1007" t="s">
        <v>225</v>
      </c>
      <c r="C299" s="1008"/>
      <c r="D299" s="998" t="s">
        <v>988</v>
      </c>
      <c r="E299" s="211"/>
      <c r="F299" s="211"/>
      <c r="G299" s="211"/>
      <c r="H299" s="216"/>
      <c r="I299" s="216"/>
      <c r="J299" s="211"/>
      <c r="K299" s="214"/>
      <c r="L299" s="211"/>
      <c r="M299" s="211">
        <f t="shared" si="43"/>
        <v>0</v>
      </c>
      <c r="N299" s="67" t="s">
        <v>157</v>
      </c>
    </row>
    <row r="300" spans="2:14" ht="25" customHeight="1" thickBot="1" x14ac:dyDescent="0.3">
      <c r="B300" s="961" t="s">
        <v>226</v>
      </c>
      <c r="C300" s="962"/>
      <c r="D300" s="999"/>
      <c r="E300" s="226">
        <f>41797823+23374605+3347158</f>
        <v>68519586</v>
      </c>
      <c r="F300" s="226">
        <f>5546217+3087699+435130</f>
        <v>9069046</v>
      </c>
      <c r="G300" s="226">
        <v>4955724</v>
      </c>
      <c r="H300" s="219"/>
      <c r="I300" s="219"/>
      <c r="J300" s="226"/>
      <c r="K300" s="238"/>
      <c r="L300" s="226"/>
      <c r="M300" s="226">
        <f>E300+F300+G300+H300+I300+J300+K300+L300</f>
        <v>82544356</v>
      </c>
      <c r="N300" s="67" t="s">
        <v>158</v>
      </c>
    </row>
    <row r="301" spans="2:14" x14ac:dyDescent="0.25">
      <c r="B301" s="1007" t="s">
        <v>1029</v>
      </c>
      <c r="C301" s="1008"/>
      <c r="D301" s="998" t="s">
        <v>79</v>
      </c>
      <c r="E301" s="213"/>
      <c r="F301" s="213"/>
      <c r="G301" s="213"/>
      <c r="H301" s="217">
        <f>'[2]védőnő,telep.eü.,ifj.eü.'!$F$119</f>
        <v>0</v>
      </c>
      <c r="I301" s="217">
        <v>26727500</v>
      </c>
      <c r="J301" s="213"/>
      <c r="K301" s="215"/>
      <c r="L301" s="213"/>
      <c r="M301" s="212">
        <f t="shared" ref="M301:M302" si="44">E301+F301+G301+H301+I301+J301+K301</f>
        <v>26727500</v>
      </c>
      <c r="N301" s="67" t="s">
        <v>157</v>
      </c>
    </row>
    <row r="302" spans="2:14" ht="13" thickBot="1" x14ac:dyDescent="0.3">
      <c r="B302" s="1011" t="s">
        <v>488</v>
      </c>
      <c r="C302" s="1012"/>
      <c r="D302" s="999"/>
      <c r="E302" s="213">
        <v>43339672</v>
      </c>
      <c r="F302" s="213">
        <v>5784157</v>
      </c>
      <c r="G302" s="213">
        <v>18853799</v>
      </c>
      <c r="H302" s="217"/>
      <c r="I302" s="217"/>
      <c r="J302" s="213"/>
      <c r="K302" s="215"/>
      <c r="L302" s="213"/>
      <c r="M302" s="212">
        <f t="shared" si="44"/>
        <v>67977628</v>
      </c>
      <c r="N302" s="67" t="s">
        <v>158</v>
      </c>
    </row>
    <row r="303" spans="2:14" x14ac:dyDescent="0.25">
      <c r="B303" s="1007" t="s">
        <v>1029</v>
      </c>
      <c r="C303" s="1008"/>
      <c r="D303" s="998" t="s">
        <v>988</v>
      </c>
      <c r="E303" s="211"/>
      <c r="F303" s="211"/>
      <c r="G303" s="211"/>
      <c r="H303" s="216"/>
      <c r="I303" s="216">
        <f>26727500-799976-3000000</f>
        <v>22927524</v>
      </c>
      <c r="J303" s="211"/>
      <c r="K303" s="214"/>
      <c r="L303" s="214"/>
      <c r="M303" s="211">
        <f>SUM(E303:L303)</f>
        <v>22927524</v>
      </c>
      <c r="N303" s="67" t="s">
        <v>157</v>
      </c>
    </row>
    <row r="304" spans="2:14" ht="13" thickBot="1" x14ac:dyDescent="0.3">
      <c r="B304" s="1011" t="s">
        <v>488</v>
      </c>
      <c r="C304" s="1012"/>
      <c r="D304" s="999"/>
      <c r="E304" s="731">
        <v>43339672</v>
      </c>
      <c r="F304" s="731">
        <v>5784157</v>
      </c>
      <c r="G304" s="731">
        <f>18853799+799976</f>
        <v>19653775</v>
      </c>
      <c r="H304" s="742"/>
      <c r="I304" s="742"/>
      <c r="J304" s="731"/>
      <c r="K304" s="743"/>
      <c r="L304" s="743"/>
      <c r="M304" s="731">
        <f>SUM(E304:L304)</f>
        <v>68777604</v>
      </c>
      <c r="N304" s="67" t="s">
        <v>158</v>
      </c>
    </row>
    <row r="305" spans="2:14" x14ac:dyDescent="0.25">
      <c r="B305" s="1007" t="s">
        <v>312</v>
      </c>
      <c r="C305" s="1008"/>
      <c r="D305" s="998" t="s">
        <v>79</v>
      </c>
      <c r="E305" s="220"/>
      <c r="F305" s="211"/>
      <c r="G305" s="211"/>
      <c r="H305" s="211"/>
      <c r="I305" s="216"/>
      <c r="J305" s="292"/>
      <c r="K305" s="293"/>
      <c r="L305" s="293"/>
      <c r="M305" s="211">
        <f t="shared" ref="M305:M306" si="45">E305+F305+G305+H305+I305+J305+K305</f>
        <v>0</v>
      </c>
      <c r="N305" s="67" t="s">
        <v>157</v>
      </c>
    </row>
    <row r="306" spans="2:14" ht="13" thickBot="1" x14ac:dyDescent="0.3">
      <c r="B306" s="1011" t="s">
        <v>1030</v>
      </c>
      <c r="C306" s="1012"/>
      <c r="D306" s="999"/>
      <c r="E306" s="213">
        <v>13369600</v>
      </c>
      <c r="F306" s="213">
        <v>904040</v>
      </c>
      <c r="G306" s="213">
        <v>0</v>
      </c>
      <c r="H306" s="213"/>
      <c r="I306" s="217"/>
      <c r="J306" s="240"/>
      <c r="K306" s="241"/>
      <c r="L306" s="241"/>
      <c r="M306" s="213">
        <f t="shared" si="45"/>
        <v>14273640</v>
      </c>
      <c r="N306" s="67" t="s">
        <v>158</v>
      </c>
    </row>
    <row r="307" spans="2:14" x14ac:dyDescent="0.25">
      <c r="B307" s="1007" t="s">
        <v>312</v>
      </c>
      <c r="C307" s="1008"/>
      <c r="D307" s="998" t="s">
        <v>988</v>
      </c>
      <c r="E307" s="211"/>
      <c r="F307" s="211"/>
      <c r="G307" s="211"/>
      <c r="H307" s="211"/>
      <c r="I307" s="216"/>
      <c r="J307" s="292"/>
      <c r="K307" s="293"/>
      <c r="L307" s="293"/>
      <c r="M307" s="211"/>
      <c r="N307" s="67" t="s">
        <v>157</v>
      </c>
    </row>
    <row r="308" spans="2:14" ht="13" thickBot="1" x14ac:dyDescent="0.3">
      <c r="B308" s="1011" t="s">
        <v>1030</v>
      </c>
      <c r="C308" s="1012"/>
      <c r="D308" s="999"/>
      <c r="E308" s="213">
        <v>13369600</v>
      </c>
      <c r="F308" s="213">
        <v>904040</v>
      </c>
      <c r="G308" s="213">
        <v>0</v>
      </c>
      <c r="H308" s="213"/>
      <c r="I308" s="217"/>
      <c r="J308" s="240"/>
      <c r="K308" s="241"/>
      <c r="L308" s="241"/>
      <c r="M308" s="213">
        <f>SUM(E308:L308)</f>
        <v>14273640</v>
      </c>
      <c r="N308" s="67" t="s">
        <v>158</v>
      </c>
    </row>
    <row r="309" spans="2:14" ht="25" customHeight="1" x14ac:dyDescent="0.25">
      <c r="B309" s="959" t="s">
        <v>314</v>
      </c>
      <c r="C309" s="960"/>
      <c r="D309" s="998" t="s">
        <v>79</v>
      </c>
      <c r="E309" s="220"/>
      <c r="F309" s="211"/>
      <c r="G309" s="211"/>
      <c r="H309" s="211">
        <v>7000000</v>
      </c>
      <c r="I309" s="216">
        <v>60000000</v>
      </c>
      <c r="J309" s="292"/>
      <c r="K309" s="293"/>
      <c r="L309" s="292"/>
      <c r="M309" s="211">
        <f t="shared" ref="M309:M312" si="46">E309+F309+G309+H309+I309+J309+K309</f>
        <v>67000000</v>
      </c>
      <c r="N309" s="67" t="s">
        <v>157</v>
      </c>
    </row>
    <row r="310" spans="2:14" ht="13" thickBot="1" x14ac:dyDescent="0.3">
      <c r="B310" s="1016" t="s">
        <v>313</v>
      </c>
      <c r="C310" s="1017"/>
      <c r="D310" s="999"/>
      <c r="E310" s="213">
        <v>11617200</v>
      </c>
      <c r="F310" s="213"/>
      <c r="G310" s="213"/>
      <c r="H310" s="213"/>
      <c r="I310" s="217"/>
      <c r="J310" s="240">
        <v>51900000</v>
      </c>
      <c r="K310" s="241"/>
      <c r="L310" s="240"/>
      <c r="M310" s="226">
        <f t="shared" si="46"/>
        <v>63517200</v>
      </c>
      <c r="N310" s="67" t="s">
        <v>158</v>
      </c>
    </row>
    <row r="311" spans="2:14" ht="25" customHeight="1" x14ac:dyDescent="0.25">
      <c r="B311" s="959" t="s">
        <v>314</v>
      </c>
      <c r="C311" s="960"/>
      <c r="D311" s="998" t="s">
        <v>988</v>
      </c>
      <c r="E311" s="220"/>
      <c r="F311" s="211"/>
      <c r="G311" s="211"/>
      <c r="H311" s="211">
        <v>7000000</v>
      </c>
      <c r="I311" s="216">
        <v>60000000</v>
      </c>
      <c r="J311" s="292"/>
      <c r="K311" s="293"/>
      <c r="L311" s="293"/>
      <c r="M311" s="211">
        <f t="shared" si="46"/>
        <v>67000000</v>
      </c>
      <c r="N311" s="67" t="s">
        <v>157</v>
      </c>
    </row>
    <row r="312" spans="2:14" ht="13" thickBot="1" x14ac:dyDescent="0.3">
      <c r="B312" s="1016" t="s">
        <v>313</v>
      </c>
      <c r="C312" s="1017"/>
      <c r="D312" s="999"/>
      <c r="E312" s="367">
        <v>11617200</v>
      </c>
      <c r="F312" s="213"/>
      <c r="G312" s="213"/>
      <c r="H312" s="213"/>
      <c r="I312" s="217"/>
      <c r="J312" s="240">
        <v>51900000</v>
      </c>
      <c r="K312" s="241"/>
      <c r="L312" s="241"/>
      <c r="M312" s="226">
        <f t="shared" si="46"/>
        <v>63517200</v>
      </c>
      <c r="N312" s="67" t="s">
        <v>158</v>
      </c>
    </row>
    <row r="313" spans="2:14" ht="34.5" customHeight="1" x14ac:dyDescent="0.25">
      <c r="B313" s="1018" t="s">
        <v>315</v>
      </c>
      <c r="C313" s="939"/>
      <c r="D313" s="940"/>
      <c r="E313" s="220"/>
      <c r="F313" s="211"/>
      <c r="G313" s="211"/>
      <c r="H313" s="211"/>
      <c r="I313" s="216"/>
      <c r="J313" s="292"/>
      <c r="K313" s="293"/>
      <c r="L313" s="293"/>
      <c r="M313" s="211"/>
      <c r="N313" s="67" t="s">
        <v>157</v>
      </c>
    </row>
    <row r="314" spans="2:14" ht="13" thickBot="1" x14ac:dyDescent="0.3">
      <c r="B314" s="1009" t="s">
        <v>371</v>
      </c>
      <c r="C314" s="1010"/>
      <c r="D314" s="85" t="s">
        <v>79</v>
      </c>
      <c r="E314" s="242"/>
      <c r="F314" s="226"/>
      <c r="G314" s="226">
        <v>24354230</v>
      </c>
      <c r="H314" s="226">
        <v>1190884886</v>
      </c>
      <c r="I314" s="219"/>
      <c r="J314" s="243"/>
      <c r="K314" s="244"/>
      <c r="L314" s="244"/>
      <c r="M314" s="226">
        <f>SUM(E314:L314)</f>
        <v>1215239116</v>
      </c>
      <c r="N314" s="67" t="s">
        <v>158</v>
      </c>
    </row>
    <row r="315" spans="2:14" ht="35.5" customHeight="1" x14ac:dyDescent="0.25">
      <c r="B315" s="1018" t="s">
        <v>315</v>
      </c>
      <c r="C315" s="939"/>
      <c r="D315" s="940"/>
      <c r="E315" s="239"/>
      <c r="F315" s="213"/>
      <c r="G315" s="213"/>
      <c r="H315" s="213"/>
      <c r="I315" s="217"/>
      <c r="J315" s="240"/>
      <c r="K315" s="241"/>
      <c r="L315" s="241"/>
      <c r="M315" s="213"/>
      <c r="N315" s="67" t="s">
        <v>157</v>
      </c>
    </row>
    <row r="316" spans="2:14" ht="13" thickBot="1" x14ac:dyDescent="0.3">
      <c r="B316" s="1011" t="s">
        <v>371</v>
      </c>
      <c r="C316" s="1013"/>
      <c r="D316" s="353" t="s">
        <v>988</v>
      </c>
      <c r="E316" s="239"/>
      <c r="F316" s="213"/>
      <c r="G316" s="213">
        <v>24354230</v>
      </c>
      <c r="H316" s="213">
        <f>1190884886+75499759+35454887+78988457+1935366</f>
        <v>1382763355</v>
      </c>
      <c r="I316" s="217"/>
      <c r="J316" s="240"/>
      <c r="K316" s="241"/>
      <c r="L316" s="241"/>
      <c r="M316" s="213">
        <f>SUM(E316:L316)</f>
        <v>1407117585</v>
      </c>
      <c r="N316" s="67" t="s">
        <v>158</v>
      </c>
    </row>
    <row r="317" spans="2:14" ht="25" customHeight="1" x14ac:dyDescent="0.25">
      <c r="B317" s="959" t="s">
        <v>1031</v>
      </c>
      <c r="C317" s="960"/>
      <c r="D317" s="998" t="s">
        <v>79</v>
      </c>
      <c r="E317" s="220"/>
      <c r="F317" s="211"/>
      <c r="G317" s="211"/>
      <c r="H317" s="211"/>
      <c r="I317" s="216">
        <v>21500000</v>
      </c>
      <c r="J317" s="292"/>
      <c r="K317" s="293"/>
      <c r="L317" s="293"/>
      <c r="M317" s="211">
        <f>E317+F317+G317+H317+I317+J317+K317</f>
        <v>21500000</v>
      </c>
      <c r="N317" s="67" t="s">
        <v>157</v>
      </c>
    </row>
    <row r="318" spans="2:14" ht="13" thickBot="1" x14ac:dyDescent="0.3">
      <c r="B318" s="1009" t="s">
        <v>1032</v>
      </c>
      <c r="C318" s="1010"/>
      <c r="D318" s="999"/>
      <c r="E318" s="239"/>
      <c r="F318" s="213"/>
      <c r="G318" s="213"/>
      <c r="H318" s="213"/>
      <c r="I318" s="217"/>
      <c r="J318" s="240"/>
      <c r="K318" s="241"/>
      <c r="L318" s="241"/>
      <c r="M318" s="213">
        <v>0</v>
      </c>
      <c r="N318" s="67" t="s">
        <v>158</v>
      </c>
    </row>
    <row r="319" spans="2:14" ht="25" customHeight="1" x14ac:dyDescent="0.25">
      <c r="B319" s="959" t="s">
        <v>1031</v>
      </c>
      <c r="C319" s="960"/>
      <c r="D319" s="998" t="s">
        <v>988</v>
      </c>
      <c r="E319" s="220"/>
      <c r="F319" s="211"/>
      <c r="G319" s="211"/>
      <c r="H319" s="211"/>
      <c r="I319" s="216">
        <v>21500000</v>
      </c>
      <c r="J319" s="292"/>
      <c r="K319" s="293"/>
      <c r="L319" s="293"/>
      <c r="M319" s="211">
        <f>SUM(E319:L319)</f>
        <v>21500000</v>
      </c>
      <c r="N319" s="67" t="s">
        <v>157</v>
      </c>
    </row>
    <row r="320" spans="2:14" ht="13" thickBot="1" x14ac:dyDescent="0.3">
      <c r="B320" s="1009" t="s">
        <v>1032</v>
      </c>
      <c r="C320" s="1010"/>
      <c r="D320" s="999"/>
      <c r="E320" s="239"/>
      <c r="F320" s="213"/>
      <c r="G320" s="213"/>
      <c r="H320" s="213"/>
      <c r="I320" s="217"/>
      <c r="J320" s="240"/>
      <c r="K320" s="241"/>
      <c r="L320" s="241"/>
      <c r="M320" s="213"/>
      <c r="N320" s="67" t="s">
        <v>158</v>
      </c>
    </row>
    <row r="321" spans="2:14" x14ac:dyDescent="0.25">
      <c r="B321" s="1007" t="s">
        <v>227</v>
      </c>
      <c r="C321" s="1008"/>
      <c r="D321" s="998" t="s">
        <v>79</v>
      </c>
      <c r="E321" s="220"/>
      <c r="F321" s="211"/>
      <c r="G321" s="211"/>
      <c r="H321" s="211"/>
      <c r="I321" s="216"/>
      <c r="J321" s="292"/>
      <c r="K321" s="293"/>
      <c r="L321" s="293"/>
      <c r="M321" s="211">
        <f t="shared" ref="M321:M322" si="47">E321+F321+G321+H321+I321+J321+K321</f>
        <v>0</v>
      </c>
      <c r="N321" s="67" t="s">
        <v>157</v>
      </c>
    </row>
    <row r="322" spans="2:14" ht="13" thickBot="1" x14ac:dyDescent="0.3">
      <c r="B322" s="1014" t="s">
        <v>1033</v>
      </c>
      <c r="C322" s="1015"/>
      <c r="D322" s="999"/>
      <c r="E322" s="242"/>
      <c r="F322" s="226"/>
      <c r="G322" s="226"/>
      <c r="H322" s="226"/>
      <c r="I322" s="219">
        <v>61132000</v>
      </c>
      <c r="J322" s="243"/>
      <c r="K322" s="244"/>
      <c r="L322" s="745"/>
      <c r="M322" s="731">
        <f t="shared" si="47"/>
        <v>61132000</v>
      </c>
      <c r="N322" s="67" t="s">
        <v>158</v>
      </c>
    </row>
    <row r="323" spans="2:14" x14ac:dyDescent="0.25">
      <c r="B323" s="1007" t="s">
        <v>227</v>
      </c>
      <c r="C323" s="1008"/>
      <c r="D323" s="998" t="s">
        <v>988</v>
      </c>
      <c r="E323" s="239"/>
      <c r="F323" s="213"/>
      <c r="G323" s="213"/>
      <c r="H323" s="213"/>
      <c r="I323" s="217"/>
      <c r="J323" s="240"/>
      <c r="K323" s="241"/>
      <c r="L323" s="241"/>
      <c r="M323" s="213"/>
      <c r="N323" s="67" t="s">
        <v>157</v>
      </c>
    </row>
    <row r="324" spans="2:14" ht="13" thickBot="1" x14ac:dyDescent="0.3">
      <c r="B324" s="1014" t="s">
        <v>1033</v>
      </c>
      <c r="C324" s="1015"/>
      <c r="D324" s="999"/>
      <c r="E324" s="239"/>
      <c r="F324" s="213"/>
      <c r="G324" s="213"/>
      <c r="H324" s="213"/>
      <c r="I324" s="217">
        <v>61132000</v>
      </c>
      <c r="J324" s="240"/>
      <c r="K324" s="241"/>
      <c r="L324" s="241"/>
      <c r="M324" s="731">
        <f>SUM(E324:L324)</f>
        <v>61132000</v>
      </c>
      <c r="N324" s="67" t="s">
        <v>158</v>
      </c>
    </row>
    <row r="325" spans="2:14" x14ac:dyDescent="0.25">
      <c r="B325" s="1007" t="s">
        <v>228</v>
      </c>
      <c r="C325" s="1008"/>
      <c r="D325" s="998" t="s">
        <v>79</v>
      </c>
      <c r="E325" s="220"/>
      <c r="F325" s="211"/>
      <c r="G325" s="211"/>
      <c r="H325" s="211"/>
      <c r="I325" s="216">
        <v>2100000</v>
      </c>
      <c r="J325" s="292"/>
      <c r="K325" s="293"/>
      <c r="L325" s="293"/>
      <c r="M325" s="211">
        <f t="shared" ref="M325" si="48">E325+F325+G325+H325+I325+J325+K325</f>
        <v>2100000</v>
      </c>
      <c r="N325" s="67" t="s">
        <v>157</v>
      </c>
    </row>
    <row r="326" spans="2:14" ht="13" thickBot="1" x14ac:dyDescent="0.3">
      <c r="B326" s="1009" t="s">
        <v>1034</v>
      </c>
      <c r="C326" s="1010"/>
      <c r="D326" s="999"/>
      <c r="E326" s="226"/>
      <c r="F326" s="226"/>
      <c r="G326" s="226"/>
      <c r="H326" s="226"/>
      <c r="I326" s="219"/>
      <c r="J326" s="243"/>
      <c r="K326" s="244"/>
      <c r="L326" s="244"/>
      <c r="M326" s="226">
        <f>E326+F326+G326+H326+I326+J326+K326</f>
        <v>0</v>
      </c>
      <c r="N326" s="67" t="s">
        <v>158</v>
      </c>
    </row>
    <row r="327" spans="2:14" x14ac:dyDescent="0.25">
      <c r="B327" s="1007" t="s">
        <v>228</v>
      </c>
      <c r="C327" s="1008"/>
      <c r="D327" s="998" t="s">
        <v>988</v>
      </c>
      <c r="E327" s="213"/>
      <c r="F327" s="213"/>
      <c r="G327" s="213"/>
      <c r="H327" s="213"/>
      <c r="I327" s="217">
        <v>2100000</v>
      </c>
      <c r="J327" s="240"/>
      <c r="K327" s="241"/>
      <c r="L327" s="241"/>
      <c r="M327" s="213">
        <f>SUM(E327:L327)</f>
        <v>2100000</v>
      </c>
      <c r="N327" s="67" t="s">
        <v>157</v>
      </c>
    </row>
    <row r="328" spans="2:14" ht="13" thickBot="1" x14ac:dyDescent="0.3">
      <c r="B328" s="1009" t="s">
        <v>1034</v>
      </c>
      <c r="C328" s="1010"/>
      <c r="D328" s="999"/>
      <c r="E328" s="213"/>
      <c r="F328" s="213"/>
      <c r="G328" s="213"/>
      <c r="H328" s="213"/>
      <c r="I328" s="217"/>
      <c r="J328" s="240"/>
      <c r="K328" s="241"/>
      <c r="L328" s="241"/>
      <c r="M328" s="213"/>
      <c r="N328" s="67" t="s">
        <v>158</v>
      </c>
    </row>
    <row r="329" spans="2:14" x14ac:dyDescent="0.25">
      <c r="B329" s="1007" t="s">
        <v>229</v>
      </c>
      <c r="C329" s="1008"/>
      <c r="D329" s="998" t="s">
        <v>79</v>
      </c>
      <c r="E329" s="220"/>
      <c r="F329" s="211"/>
      <c r="G329" s="211"/>
      <c r="H329" s="211"/>
      <c r="I329" s="216">
        <v>6250000</v>
      </c>
      <c r="J329" s="292"/>
      <c r="K329" s="293"/>
      <c r="L329" s="292"/>
      <c r="M329" s="211">
        <f t="shared" ref="M329" si="49">E329+F329+G329+H329+I329+J329+K329</f>
        <v>6250000</v>
      </c>
      <c r="N329" s="67" t="s">
        <v>157</v>
      </c>
    </row>
    <row r="330" spans="2:14" ht="13" thickBot="1" x14ac:dyDescent="0.3">
      <c r="B330" s="1011" t="s">
        <v>1035</v>
      </c>
      <c r="C330" s="1012"/>
      <c r="D330" s="999"/>
      <c r="E330" s="239"/>
      <c r="F330" s="213"/>
      <c r="G330" s="213"/>
      <c r="H330" s="213"/>
      <c r="I330" s="217"/>
      <c r="J330" s="240"/>
      <c r="K330" s="241"/>
      <c r="L330" s="240"/>
      <c r="M330" s="212">
        <f>E330+F330+G330+H330+I330+J330+K330</f>
        <v>0</v>
      </c>
      <c r="N330" s="67" t="s">
        <v>158</v>
      </c>
    </row>
    <row r="331" spans="2:14" x14ac:dyDescent="0.25">
      <c r="B331" s="1007" t="s">
        <v>229</v>
      </c>
      <c r="C331" s="1008"/>
      <c r="D331" s="998" t="s">
        <v>988</v>
      </c>
      <c r="E331" s="220"/>
      <c r="F331" s="211"/>
      <c r="G331" s="211"/>
      <c r="H331" s="211"/>
      <c r="I331" s="216">
        <v>6250000</v>
      </c>
      <c r="J331" s="292"/>
      <c r="K331" s="293"/>
      <c r="L331" s="292"/>
      <c r="M331" s="210">
        <f>SUM(E331:L331)</f>
        <v>6250000</v>
      </c>
      <c r="N331" s="67" t="s">
        <v>157</v>
      </c>
    </row>
    <row r="332" spans="2:14" ht="13" thickBot="1" x14ac:dyDescent="0.3">
      <c r="B332" s="1011" t="s">
        <v>1035</v>
      </c>
      <c r="C332" s="1012"/>
      <c r="D332" s="999"/>
      <c r="E332" s="239"/>
      <c r="F332" s="213"/>
      <c r="G332" s="213"/>
      <c r="H332" s="213"/>
      <c r="I332" s="217"/>
      <c r="J332" s="240"/>
      <c r="K332" s="241"/>
      <c r="L332" s="240"/>
      <c r="M332" s="212"/>
      <c r="N332" s="67" t="s">
        <v>158</v>
      </c>
    </row>
    <row r="333" spans="2:14" ht="12.5" customHeight="1" x14ac:dyDescent="0.25">
      <c r="B333" s="959" t="s">
        <v>1036</v>
      </c>
      <c r="C333" s="960"/>
      <c r="D333" s="998" t="s">
        <v>79</v>
      </c>
      <c r="E333" s="220"/>
      <c r="F333" s="211"/>
      <c r="G333" s="211">
        <v>5074920</v>
      </c>
      <c r="H333" s="211"/>
      <c r="I333" s="216"/>
      <c r="J333" s="211"/>
      <c r="K333" s="214"/>
      <c r="L333" s="211"/>
      <c r="M333" s="211">
        <f t="shared" ref="M333" si="50">E333+F333+G333+H333+I333+J333+K333</f>
        <v>5074920</v>
      </c>
      <c r="N333" s="67" t="s">
        <v>157</v>
      </c>
    </row>
    <row r="334" spans="2:14" ht="18.5" customHeight="1" x14ac:dyDescent="0.25">
      <c r="B334" s="1004"/>
      <c r="C334" s="1005"/>
      <c r="D334" s="1006"/>
      <c r="E334" s="213"/>
      <c r="F334" s="213"/>
      <c r="G334" s="213"/>
      <c r="H334" s="213"/>
      <c r="I334" s="217">
        <v>612238000</v>
      </c>
      <c r="J334" s="213"/>
      <c r="K334" s="215"/>
      <c r="L334" s="213"/>
      <c r="M334" s="212">
        <f>E334+F334+G334+H334+I334+J334+K334</f>
        <v>612238000</v>
      </c>
      <c r="N334" s="67" t="s">
        <v>158</v>
      </c>
    </row>
    <row r="335" spans="2:14" ht="25" customHeight="1" thickBot="1" x14ac:dyDescent="0.3">
      <c r="B335" s="961" t="s">
        <v>438</v>
      </c>
      <c r="C335" s="962"/>
      <c r="D335" s="999"/>
      <c r="E335" s="239"/>
      <c r="F335" s="213"/>
      <c r="G335" s="213"/>
      <c r="H335" s="213"/>
      <c r="I335" s="217"/>
      <c r="J335" s="213"/>
      <c r="K335" s="215"/>
      <c r="L335" s="215"/>
      <c r="M335" s="213"/>
      <c r="N335" s="67"/>
    </row>
    <row r="336" spans="2:14" ht="25" customHeight="1" x14ac:dyDescent="0.25">
      <c r="B336" s="959" t="s">
        <v>1036</v>
      </c>
      <c r="C336" s="960"/>
      <c r="D336" s="998" t="s">
        <v>988</v>
      </c>
      <c r="E336" s="220"/>
      <c r="F336" s="211"/>
      <c r="G336" s="211">
        <v>5074920</v>
      </c>
      <c r="H336" s="211"/>
      <c r="I336" s="216"/>
      <c r="J336" s="211"/>
      <c r="K336" s="214"/>
      <c r="L336" s="214"/>
      <c r="M336" s="211">
        <f>SUM(E336:L336)</f>
        <v>5074920</v>
      </c>
      <c r="N336" s="67" t="s">
        <v>157</v>
      </c>
    </row>
    <row r="337" spans="2:14" ht="25" customHeight="1" thickBot="1" x14ac:dyDescent="0.3">
      <c r="B337" s="961" t="s">
        <v>438</v>
      </c>
      <c r="C337" s="962"/>
      <c r="D337" s="999"/>
      <c r="E337" s="746"/>
      <c r="F337" s="731"/>
      <c r="G337" s="731"/>
      <c r="H337" s="731"/>
      <c r="I337" s="742">
        <v>612238000</v>
      </c>
      <c r="J337" s="731"/>
      <c r="K337" s="743"/>
      <c r="L337" s="743"/>
      <c r="M337" s="731">
        <f>SUM(E337:L337)</f>
        <v>612238000</v>
      </c>
      <c r="N337" s="67" t="s">
        <v>158</v>
      </c>
    </row>
    <row r="338" spans="2:14" ht="25" customHeight="1" x14ac:dyDescent="0.25">
      <c r="B338" s="959" t="s">
        <v>230</v>
      </c>
      <c r="C338" s="960"/>
      <c r="D338" s="998" t="s">
        <v>79</v>
      </c>
      <c r="E338" s="220"/>
      <c r="F338" s="211"/>
      <c r="G338" s="211"/>
      <c r="H338" s="211"/>
      <c r="I338" s="216">
        <v>206600000</v>
      </c>
      <c r="J338" s="211"/>
      <c r="K338" s="214"/>
      <c r="L338" s="214"/>
      <c r="M338" s="211">
        <f>E338+F338+G338+H338+I338+J338+K338</f>
        <v>206600000</v>
      </c>
      <c r="N338" s="67" t="s">
        <v>157</v>
      </c>
    </row>
    <row r="339" spans="2:14" ht="13" thickBot="1" x14ac:dyDescent="0.3">
      <c r="B339" s="1000" t="s">
        <v>1037</v>
      </c>
      <c r="C339" s="1001"/>
      <c r="D339" s="999"/>
      <c r="E339" s="239"/>
      <c r="F339" s="213"/>
      <c r="G339" s="213"/>
      <c r="H339" s="213"/>
      <c r="I339" s="217"/>
      <c r="J339" s="213"/>
      <c r="K339" s="215"/>
      <c r="L339" s="215"/>
      <c r="M339" s="213">
        <f>E339+F339+G339+H339+I339+J339+K339</f>
        <v>0</v>
      </c>
      <c r="N339" s="67" t="s">
        <v>158</v>
      </c>
    </row>
    <row r="340" spans="2:14" ht="25" customHeight="1" x14ac:dyDescent="0.25">
      <c r="B340" s="959" t="s">
        <v>230</v>
      </c>
      <c r="C340" s="960"/>
      <c r="D340" s="998" t="s">
        <v>988</v>
      </c>
      <c r="E340" s="220"/>
      <c r="F340" s="211"/>
      <c r="G340" s="211"/>
      <c r="H340" s="211"/>
      <c r="I340" s="216">
        <v>206600000</v>
      </c>
      <c r="J340" s="211"/>
      <c r="K340" s="214"/>
      <c r="L340" s="214"/>
      <c r="M340" s="211">
        <f>SUM(E340:L340)</f>
        <v>206600000</v>
      </c>
      <c r="N340" s="67" t="s">
        <v>157</v>
      </c>
    </row>
    <row r="341" spans="2:14" ht="13" thickBot="1" x14ac:dyDescent="0.3">
      <c r="B341" s="1000" t="s">
        <v>1037</v>
      </c>
      <c r="C341" s="1001"/>
      <c r="D341" s="999"/>
      <c r="E341" s="746"/>
      <c r="F341" s="731"/>
      <c r="G341" s="731"/>
      <c r="H341" s="731"/>
      <c r="I341" s="742"/>
      <c r="J341" s="731"/>
      <c r="K341" s="743"/>
      <c r="L341" s="743"/>
      <c r="M341" s="731"/>
      <c r="N341" s="67" t="s">
        <v>158</v>
      </c>
    </row>
    <row r="342" spans="2:14" ht="31" customHeight="1" x14ac:dyDescent="0.25">
      <c r="B342" s="959" t="s">
        <v>687</v>
      </c>
      <c r="C342" s="960"/>
      <c r="D342" s="998" t="s">
        <v>79</v>
      </c>
      <c r="E342" s="220"/>
      <c r="F342" s="211"/>
      <c r="G342" s="211"/>
      <c r="H342" s="211"/>
      <c r="I342" s="216">
        <v>113870000</v>
      </c>
      <c r="J342" s="211"/>
      <c r="K342" s="214">
        <f>'[2]Közművelődés és sport'!$G$131</f>
        <v>0</v>
      </c>
      <c r="L342" s="211"/>
      <c r="M342" s="211">
        <f>E342+F342+G342+H342+I342+J342+K342</f>
        <v>113870000</v>
      </c>
      <c r="N342" s="67" t="s">
        <v>157</v>
      </c>
    </row>
    <row r="343" spans="2:14" ht="25" customHeight="1" thickBot="1" x14ac:dyDescent="0.3">
      <c r="B343" s="1002" t="s">
        <v>658</v>
      </c>
      <c r="C343" s="1003"/>
      <c r="D343" s="999"/>
      <c r="E343" s="239"/>
      <c r="F343" s="213"/>
      <c r="G343" s="213"/>
      <c r="H343" s="213"/>
      <c r="I343" s="217"/>
      <c r="J343" s="213"/>
      <c r="K343" s="215"/>
      <c r="L343" s="213"/>
      <c r="M343" s="212">
        <f>E343+F343+G343+H343+I343+J343+K343</f>
        <v>0</v>
      </c>
      <c r="N343" s="67" t="s">
        <v>158</v>
      </c>
    </row>
    <row r="344" spans="2:14" ht="31" customHeight="1" x14ac:dyDescent="0.25">
      <c r="B344" s="959" t="s">
        <v>687</v>
      </c>
      <c r="C344" s="960"/>
      <c r="D344" s="998" t="s">
        <v>988</v>
      </c>
      <c r="E344" s="220"/>
      <c r="F344" s="211"/>
      <c r="G344" s="211"/>
      <c r="H344" s="211"/>
      <c r="I344" s="216">
        <v>113870000</v>
      </c>
      <c r="J344" s="211"/>
      <c r="K344" s="214"/>
      <c r="L344" s="211"/>
      <c r="M344" s="210">
        <f>SUM(E344:L344)</f>
        <v>113870000</v>
      </c>
      <c r="N344" s="67" t="s">
        <v>157</v>
      </c>
    </row>
    <row r="345" spans="2:14" ht="25" customHeight="1" thickBot="1" x14ac:dyDescent="0.3">
      <c r="B345" s="1002" t="s">
        <v>658</v>
      </c>
      <c r="C345" s="1003"/>
      <c r="D345" s="999"/>
      <c r="E345" s="239"/>
      <c r="F345" s="213"/>
      <c r="G345" s="213"/>
      <c r="H345" s="213"/>
      <c r="I345" s="217"/>
      <c r="J345" s="213"/>
      <c r="K345" s="215"/>
      <c r="L345" s="213"/>
      <c r="M345" s="212"/>
      <c r="N345" s="67" t="s">
        <v>158</v>
      </c>
    </row>
    <row r="346" spans="2:14" ht="13" x14ac:dyDescent="0.3">
      <c r="B346" s="996" t="s">
        <v>59</v>
      </c>
      <c r="C346" s="997"/>
      <c r="D346" s="802" t="s">
        <v>79</v>
      </c>
      <c r="E346" s="906">
        <f>E229+E230+E233+E234+E237+E238+E241+E242+E245+E246+E250+E251+E255+E256+E259+E260+E263+E264+E267+E268+E272+E273+E277+E278+E282+E285+E286+E289+E290+E293+E294+E297+E298+E301+E302+E305+E306+E309+E310+E313+E314+E317+E318+E321+E322+E325+E326+E329+E330+E334+E333+E338+E339+E342+E343-1</f>
        <v>221391393</v>
      </c>
      <c r="F346" s="912">
        <f t="shared" ref="F346" si="51">F229+F230+F233+F234+F237+F238+F241+F242+F245+F246+F250+F251+F255+F256+F259+F260+F263+F264+F267+F268+F272+F273+F277+F278+F282+F285+F286+F289+F290+F293+F294+F297+F298+F301+F302+F305+F306+F309+F310+F313+F314+F317+F318+F321+F322+F325+F326+F329+F330+F334+F333+F338+F339+F342+F343</f>
        <v>31823075</v>
      </c>
      <c r="G346" s="912">
        <f>G229+G230+G233+G234+G237+G238+G241+G242+G245+G246+G250+G251+G255+G256+G259+G260+G263+G264+G267+G268+G272+G273+G277+G278+G282+G285+G286+G289+G290+G293+G294+G297+G298+G301+G302+G305+G306+G309+G310+G313+G314+G317+G318+G321+G322+G325+G326+G329+G330+G334+G333+G338+G339+G342+G343+1</f>
        <v>2261796929</v>
      </c>
      <c r="H346" s="912">
        <f t="shared" ref="H346:M346" si="52">H229+H230+H233+H234+H237+H238+H241+H242+H245+H246+H250+H251+H255+H256+H259+H260+H263+H264+H267+H268+H272+H273+H277+H278+H282+H285+H286+H289+H290+H293+H294+H297+H298+H301+H302+H305+H306+H309+H310+H313+H314+H317+H318+H321+H322+H325+H326+H329+H330+H334+H333+H338+H339+H342+H343</f>
        <v>2562990897</v>
      </c>
      <c r="I346" s="912">
        <f t="shared" si="52"/>
        <v>1247270775</v>
      </c>
      <c r="J346" s="912">
        <f t="shared" si="52"/>
        <v>51900000</v>
      </c>
      <c r="K346" s="912">
        <f t="shared" si="52"/>
        <v>302970855</v>
      </c>
      <c r="L346" s="912">
        <f t="shared" si="52"/>
        <v>132053794</v>
      </c>
      <c r="M346" s="909">
        <f t="shared" si="52"/>
        <v>6812197718</v>
      </c>
      <c r="N346" s="288"/>
    </row>
    <row r="347" spans="2:14" ht="13" x14ac:dyDescent="0.3">
      <c r="B347" s="991" t="s">
        <v>164</v>
      </c>
      <c r="C347" s="992"/>
      <c r="D347" s="801"/>
      <c r="E347" s="907">
        <f>E346-E348</f>
        <v>192937547</v>
      </c>
      <c r="F347" s="913">
        <f t="shared" ref="F347:M347" si="53">F346-F348</f>
        <v>23507894</v>
      </c>
      <c r="G347" s="913">
        <f t="shared" si="53"/>
        <v>2000071388</v>
      </c>
      <c r="H347" s="913">
        <f t="shared" si="53"/>
        <v>2552025897</v>
      </c>
      <c r="I347" s="913">
        <f t="shared" si="53"/>
        <v>775925000</v>
      </c>
      <c r="J347" s="913">
        <f t="shared" si="53"/>
        <v>51900000</v>
      </c>
      <c r="K347" s="913">
        <f t="shared" si="53"/>
        <v>298970855</v>
      </c>
      <c r="L347" s="913">
        <f t="shared" si="53"/>
        <v>132053794</v>
      </c>
      <c r="M347" s="910">
        <f t="shared" si="53"/>
        <v>6027392376</v>
      </c>
      <c r="N347" s="288"/>
    </row>
    <row r="348" spans="2:14" ht="13" x14ac:dyDescent="0.3">
      <c r="B348" s="991" t="s">
        <v>165</v>
      </c>
      <c r="C348" s="992"/>
      <c r="D348" s="801"/>
      <c r="E348" s="907">
        <f>E342+E338+E333+E329+E325+E321+E317+E313+E309+E305+E301+E297+E293+E289+E285+E281+E277+E272+E267+E263+E259+E255+E250+E245+E241+E237+E233+E229</f>
        <v>28453846</v>
      </c>
      <c r="F348" s="913">
        <f t="shared" ref="F348" si="54">F342+F338+F333+F329+F325+F321+F317+F313+F309+F305+F301+F297+F293+F289+F285+F281+F277+F272+F267+F263+F259+F255+F250+F245+F241+F237+F233+F229</f>
        <v>8315181</v>
      </c>
      <c r="G348" s="913">
        <f>G342+G338+G333+G329+G325+G321+G317+G313+G309+G305+G301+G297+G293+G289+G285+G281+G277+G272+G267+G263+G259+G255+G250+G245+G241+G237+G233+G229+1</f>
        <v>261725541</v>
      </c>
      <c r="H348" s="913">
        <f t="shared" ref="H348:M348" si="55">H342+H338+H333+H329+H325+H321+H317+H313+H309+H305+H301+H297+H293+H289+H285+H281+H277+H272+H267+H263+H259+H255+H250+H245+H241+H237+H233+H229</f>
        <v>10965000</v>
      </c>
      <c r="I348" s="913">
        <f t="shared" si="55"/>
        <v>471345775</v>
      </c>
      <c r="J348" s="913">
        <f t="shared" si="55"/>
        <v>0</v>
      </c>
      <c r="K348" s="913">
        <f t="shared" si="55"/>
        <v>4000000</v>
      </c>
      <c r="L348" s="913">
        <f t="shared" si="55"/>
        <v>0</v>
      </c>
      <c r="M348" s="910">
        <f t="shared" si="55"/>
        <v>784805342</v>
      </c>
      <c r="N348" s="288"/>
    </row>
    <row r="349" spans="2:14" ht="13.5" thickBot="1" x14ac:dyDescent="0.35">
      <c r="B349" s="993" t="s">
        <v>166</v>
      </c>
      <c r="C349" s="994"/>
      <c r="D349" s="995"/>
      <c r="E349" s="907">
        <v>0</v>
      </c>
      <c r="F349" s="913">
        <v>0</v>
      </c>
      <c r="G349" s="913">
        <v>0</v>
      </c>
      <c r="H349" s="913">
        <v>0</v>
      </c>
      <c r="I349" s="913">
        <v>0</v>
      </c>
      <c r="J349" s="913">
        <v>0</v>
      </c>
      <c r="K349" s="913">
        <v>0</v>
      </c>
      <c r="L349" s="913">
        <v>0</v>
      </c>
      <c r="M349" s="910">
        <v>0</v>
      </c>
      <c r="N349" s="288"/>
    </row>
    <row r="350" spans="2:14" ht="13" x14ac:dyDescent="0.3">
      <c r="B350" s="996" t="s">
        <v>59</v>
      </c>
      <c r="C350" s="997"/>
      <c r="D350" s="802" t="s">
        <v>988</v>
      </c>
      <c r="E350" s="907">
        <f>E231+E232+E235+E236+E239+E240+E243+E244+E247+E248+E252+E253+E257+E258+E261+E262+E265+E266+E269+E270+E274+E275+E279+E280+E283+E284+E287+E288+E291+E292+E295+E296+E299+E300+E303+E304+E307+E308+E311+E312+E315+E316+E319+E320+E323+E324+E327+E328+E331+E332+E336+E337+E340+E341+E344+E345</f>
        <v>249601361</v>
      </c>
      <c r="F350" s="913">
        <f t="shared" ref="F350" si="56">F231+F232+F235+F236+F239+F240+F243+F244+F247+F248+F252+F253+F257+F258+F261+F262+F265+F266+F269+F270+F274+F275+F279+F280+F283+F284+F287+F288+F291+F292+F295+F296+F299+F300+F303+F304+F307+F308+F311+F312+F315+F316+F319+F320+F323+F324+F327+F328+F331+F332+F336+F337+F340+F341+F344+F345</f>
        <v>35495794</v>
      </c>
      <c r="G350" s="913">
        <f>G231+G232+G235+G236+G239+G240+G243+G244+G247+G248+G252+G253+G257+G258+G261+G262+G265+G266+G269+G270+G274+G275+G279+G280+G283+G284+G287+G288+G291+G292+G295+G296+G299+G300+G303+G304+G307+G308+G311+G312+G315+G316+G319+G320+G323+G324+G327+G328+G331+G332+G336+G337+G340+G341+G344+G345-1</f>
        <v>2299998889</v>
      </c>
      <c r="H350" s="913">
        <f t="shared" ref="H350:L350" si="57">H231+H232+H235+H236+H239+H240+H243+H244+H247+H248+H252+H253+H257+H258+H261+H262+H265+H266+H269+H270+H274+H275+H279+H280+H283+H284+H287+H288+H291+H292+H295+H296+H299+H300+H303+H304+H307+H308+H311+H312+H315+H316+H319+H320+H323+H324+H327+H328+H331+H332+H336+H337+H340+H341+H344+H345</f>
        <v>2755069366</v>
      </c>
      <c r="I350" s="913">
        <f t="shared" si="57"/>
        <v>1242868849</v>
      </c>
      <c r="J350" s="913">
        <f t="shared" si="57"/>
        <v>51900000</v>
      </c>
      <c r="K350" s="913">
        <f t="shared" si="57"/>
        <v>89520811</v>
      </c>
      <c r="L350" s="913">
        <f t="shared" si="57"/>
        <v>132406352</v>
      </c>
      <c r="M350" s="910">
        <f>M231+M232+M235+M236+M239+M240+M243+M244+M247+M248+M252+M253+M257+M258+M261+M262+M265+M266+M269+M270+M274+M275+M279+M280+M283+M284+M287+M288+M291+M292+M295+M296+M299+M300+M303+M304+M307+M308+M311+M312+M315+M316+M319+M320+M323+M324+M327+M328+M331+M332+M336+M337+M340+M341+M344+M345-1</f>
        <v>6856861422</v>
      </c>
      <c r="N350" s="288"/>
    </row>
    <row r="351" spans="2:14" ht="13" x14ac:dyDescent="0.3">
      <c r="B351" s="991" t="s">
        <v>164</v>
      </c>
      <c r="C351" s="992"/>
      <c r="D351" s="801"/>
      <c r="E351" s="907">
        <f>E350-E352</f>
        <v>220858461</v>
      </c>
      <c r="F351" s="913">
        <f t="shared" ref="F351:M351" si="58">F350-F352</f>
        <v>27186613</v>
      </c>
      <c r="G351" s="913">
        <f t="shared" si="58"/>
        <v>2039606403</v>
      </c>
      <c r="H351" s="913">
        <f t="shared" si="58"/>
        <v>2743904366</v>
      </c>
      <c r="I351" s="913">
        <f t="shared" si="58"/>
        <v>775925000</v>
      </c>
      <c r="J351" s="913">
        <f t="shared" si="58"/>
        <v>51900000</v>
      </c>
      <c r="K351" s="913">
        <f t="shared" si="58"/>
        <v>85520811</v>
      </c>
      <c r="L351" s="913">
        <f t="shared" si="58"/>
        <v>132406352</v>
      </c>
      <c r="M351" s="910">
        <f t="shared" si="58"/>
        <v>6077308006</v>
      </c>
      <c r="N351" s="288"/>
    </row>
    <row r="352" spans="2:14" ht="13" x14ac:dyDescent="0.3">
      <c r="B352" s="991" t="s">
        <v>165</v>
      </c>
      <c r="C352" s="992"/>
      <c r="D352" s="801"/>
      <c r="E352" s="907">
        <f>E231+E235+E239+E243+E247+E252+E257+E261+E265+E269+E274+E279+E283+E287+E291+E295+E299+E303+E307+E311+E315+E319+E323+E327+E331+E336+E340+E344</f>
        <v>28742900</v>
      </c>
      <c r="F352" s="913">
        <f t="shared" ref="F352:M352" si="59">F231+F235+F239+F243+F247+F252+F257+F261+F265+F269+F274+F279+F283+F287+F291+F295+F299+F303+F307+F311+F315+F319+F323+F327+F331+F336+F340+F344</f>
        <v>8309181</v>
      </c>
      <c r="G352" s="913">
        <f t="shared" si="59"/>
        <v>260392486</v>
      </c>
      <c r="H352" s="913">
        <f t="shared" si="59"/>
        <v>11165000</v>
      </c>
      <c r="I352" s="913">
        <f t="shared" si="59"/>
        <v>466943849</v>
      </c>
      <c r="J352" s="913">
        <f t="shared" si="59"/>
        <v>0</v>
      </c>
      <c r="K352" s="913">
        <f t="shared" si="59"/>
        <v>4000000</v>
      </c>
      <c r="L352" s="913">
        <f t="shared" si="59"/>
        <v>0</v>
      </c>
      <c r="M352" s="910">
        <f t="shared" si="59"/>
        <v>779553416</v>
      </c>
      <c r="N352" s="288"/>
    </row>
    <row r="353" spans="2:25" ht="13.5" thickBot="1" x14ac:dyDescent="0.35">
      <c r="B353" s="993" t="s">
        <v>166</v>
      </c>
      <c r="C353" s="994"/>
      <c r="D353" s="995"/>
      <c r="E353" s="908">
        <v>0</v>
      </c>
      <c r="F353" s="914">
        <v>0</v>
      </c>
      <c r="G353" s="914">
        <v>0</v>
      </c>
      <c r="H353" s="914">
        <v>0</v>
      </c>
      <c r="I353" s="914">
        <v>0</v>
      </c>
      <c r="J353" s="914">
        <v>0</v>
      </c>
      <c r="K353" s="914">
        <v>0</v>
      </c>
      <c r="L353" s="914">
        <v>0</v>
      </c>
      <c r="M353" s="911">
        <v>0</v>
      </c>
      <c r="N353" s="288"/>
    </row>
    <row r="354" spans="2:25" ht="13.25" customHeight="1" x14ac:dyDescent="0.25">
      <c r="B354" s="1029" t="s">
        <v>1021</v>
      </c>
      <c r="C354" s="1030"/>
      <c r="D354" s="1046" t="s">
        <v>79</v>
      </c>
      <c r="E354" s="211">
        <v>605709868</v>
      </c>
      <c r="F354" s="211">
        <v>92149285</v>
      </c>
      <c r="G354" s="211">
        <v>163022323</v>
      </c>
      <c r="H354" s="211">
        <v>5000000</v>
      </c>
      <c r="I354" s="211">
        <v>0</v>
      </c>
      <c r="J354" s="211">
        <v>0</v>
      </c>
      <c r="K354" s="211">
        <v>0</v>
      </c>
      <c r="L354" s="211">
        <v>0</v>
      </c>
      <c r="M354" s="211">
        <f>E354+F354+G354+H354+I354+J354+K354+L354</f>
        <v>865881476</v>
      </c>
      <c r="N354" s="67" t="s">
        <v>158</v>
      </c>
    </row>
    <row r="355" spans="2:25" ht="40" customHeight="1" thickBot="1" x14ac:dyDescent="0.3">
      <c r="B355" s="1039"/>
      <c r="C355" s="1040"/>
      <c r="D355" s="1047"/>
      <c r="E355" s="226">
        <v>0</v>
      </c>
      <c r="F355" s="226">
        <v>0</v>
      </c>
      <c r="G355" s="226"/>
      <c r="H355" s="219">
        <v>0</v>
      </c>
      <c r="I355" s="219">
        <v>0</v>
      </c>
      <c r="J355" s="226">
        <v>0</v>
      </c>
      <c r="K355" s="238">
        <v>0</v>
      </c>
      <c r="L355" s="238">
        <v>0</v>
      </c>
      <c r="M355" s="226">
        <f t="shared" ref="M355" si="60">E355+F355+G355+H355+I355+J355+K355+L355</f>
        <v>0</v>
      </c>
      <c r="N355" s="225" t="s">
        <v>162</v>
      </c>
    </row>
    <row r="356" spans="2:25" ht="13.25" customHeight="1" x14ac:dyDescent="0.25">
      <c r="B356" s="1029" t="s">
        <v>1021</v>
      </c>
      <c r="C356" s="1030"/>
      <c r="D356" s="1046" t="s">
        <v>988</v>
      </c>
      <c r="E356" s="213">
        <f>605709868+44445265</f>
        <v>650155133</v>
      </c>
      <c r="F356" s="213">
        <f>92149285+5777884</f>
        <v>97927169</v>
      </c>
      <c r="G356" s="213">
        <v>163022323</v>
      </c>
      <c r="H356" s="217">
        <v>5000000</v>
      </c>
      <c r="I356" s="217">
        <v>0</v>
      </c>
      <c r="J356" s="213">
        <v>0</v>
      </c>
      <c r="K356" s="215">
        <v>0</v>
      </c>
      <c r="L356" s="215">
        <v>0</v>
      </c>
      <c r="M356" s="213">
        <f>SUM(E356:L356)</f>
        <v>916104625</v>
      </c>
      <c r="N356" s="67" t="s">
        <v>158</v>
      </c>
    </row>
    <row r="357" spans="2:25" ht="38" thickBot="1" x14ac:dyDescent="0.3">
      <c r="B357" s="1039"/>
      <c r="C357" s="1040"/>
      <c r="D357" s="1047"/>
      <c r="E357" s="213"/>
      <c r="F357" s="213"/>
      <c r="G357" s="213"/>
      <c r="H357" s="217"/>
      <c r="I357" s="217"/>
      <c r="J357" s="213"/>
      <c r="K357" s="215"/>
      <c r="L357" s="215"/>
      <c r="M357" s="213"/>
      <c r="N357" s="225" t="s">
        <v>162</v>
      </c>
    </row>
    <row r="358" spans="2:25" x14ac:dyDescent="0.25">
      <c r="B358" s="1048" t="s">
        <v>232</v>
      </c>
      <c r="C358" s="1049"/>
      <c r="D358" s="1046" t="s">
        <v>79</v>
      </c>
      <c r="E358" s="211">
        <v>93980233</v>
      </c>
      <c r="F358" s="211">
        <v>12952460</v>
      </c>
      <c r="G358" s="211">
        <v>0</v>
      </c>
      <c r="H358" s="211">
        <v>0</v>
      </c>
      <c r="I358" s="211">
        <v>0</v>
      </c>
      <c r="J358" s="211">
        <v>0</v>
      </c>
      <c r="K358" s="211">
        <v>0</v>
      </c>
      <c r="L358" s="211">
        <v>0</v>
      </c>
      <c r="M358" s="211">
        <f t="shared" ref="M358:M359" si="61">E358+F358+G358+H358+I358+J358+K358+L358</f>
        <v>106932693</v>
      </c>
      <c r="N358" s="67" t="s">
        <v>158</v>
      </c>
    </row>
    <row r="359" spans="2:25" ht="38" thickBot="1" x14ac:dyDescent="0.3">
      <c r="B359" s="1050"/>
      <c r="C359" s="1051"/>
      <c r="D359" s="1047"/>
      <c r="E359" s="354">
        <v>0</v>
      </c>
      <c r="F359" s="213">
        <v>0</v>
      </c>
      <c r="G359" s="213">
        <v>0</v>
      </c>
      <c r="H359" s="213">
        <v>0</v>
      </c>
      <c r="I359" s="213">
        <v>0</v>
      </c>
      <c r="J359" s="213">
        <v>0</v>
      </c>
      <c r="K359" s="213">
        <v>0</v>
      </c>
      <c r="L359" s="213">
        <v>0</v>
      </c>
      <c r="M359" s="213">
        <f t="shared" si="61"/>
        <v>0</v>
      </c>
      <c r="N359" s="225" t="s">
        <v>162</v>
      </c>
    </row>
    <row r="360" spans="2:25" x14ac:dyDescent="0.25">
      <c r="B360" s="1048" t="s">
        <v>232</v>
      </c>
      <c r="C360" s="1049"/>
      <c r="D360" s="1046" t="s">
        <v>988</v>
      </c>
      <c r="E360" s="732">
        <f>93980233+7287491</f>
        <v>101267724</v>
      </c>
      <c r="F360" s="210">
        <f>12952460+947374</f>
        <v>13899834</v>
      </c>
      <c r="G360" s="211">
        <v>0</v>
      </c>
      <c r="H360" s="624">
        <v>0</v>
      </c>
      <c r="I360" s="211">
        <v>0</v>
      </c>
      <c r="J360" s="624">
        <v>0</v>
      </c>
      <c r="K360" s="211">
        <v>0</v>
      </c>
      <c r="L360" s="210">
        <v>0</v>
      </c>
      <c r="M360" s="211">
        <f>SUM(E360:L360)</f>
        <v>115167558</v>
      </c>
      <c r="N360" s="67" t="s">
        <v>158</v>
      </c>
    </row>
    <row r="361" spans="2:25" ht="38" thickBot="1" x14ac:dyDescent="0.3">
      <c r="B361" s="1050"/>
      <c r="C361" s="1051"/>
      <c r="D361" s="1047"/>
      <c r="E361" s="354"/>
      <c r="F361" s="212"/>
      <c r="G361" s="213"/>
      <c r="H361" s="630"/>
      <c r="I361" s="213"/>
      <c r="J361" s="630"/>
      <c r="K361" s="213"/>
      <c r="L361" s="212"/>
      <c r="M361" s="213"/>
      <c r="N361" s="225" t="s">
        <v>162</v>
      </c>
    </row>
    <row r="362" spans="2:25" x14ac:dyDescent="0.25">
      <c r="B362" s="1048" t="s">
        <v>804</v>
      </c>
      <c r="C362" s="1049"/>
      <c r="D362" s="790" t="s">
        <v>79</v>
      </c>
      <c r="E362" s="726">
        <v>0</v>
      </c>
      <c r="F362" s="210">
        <v>0</v>
      </c>
      <c r="G362" s="211">
        <v>0</v>
      </c>
      <c r="H362" s="624">
        <v>0</v>
      </c>
      <c r="I362" s="211">
        <v>0</v>
      </c>
      <c r="J362" s="624">
        <v>0</v>
      </c>
      <c r="K362" s="211">
        <v>0</v>
      </c>
      <c r="L362" s="210">
        <v>0</v>
      </c>
      <c r="M362" s="211">
        <f t="shared" ref="M362" si="62">E362+F362+G362+H362+I362+J362+K362+L362</f>
        <v>0</v>
      </c>
      <c r="N362" s="225" t="s">
        <v>158</v>
      </c>
    </row>
    <row r="363" spans="2:25" ht="13" thickBot="1" x14ac:dyDescent="0.3">
      <c r="B363" s="1050"/>
      <c r="C363" s="1051"/>
      <c r="D363" s="729" t="s">
        <v>988</v>
      </c>
      <c r="E363" s="819">
        <v>12301001</v>
      </c>
      <c r="F363" s="730">
        <v>1740712</v>
      </c>
      <c r="G363" s="731">
        <v>3097468</v>
      </c>
      <c r="H363" s="730"/>
      <c r="I363" s="731"/>
      <c r="J363" s="730"/>
      <c r="K363" s="731"/>
      <c r="L363" s="730"/>
      <c r="M363" s="731">
        <f>SUM(E363:L363)</f>
        <v>17139181</v>
      </c>
      <c r="N363" s="225" t="s">
        <v>158</v>
      </c>
    </row>
    <row r="364" spans="2:25" ht="13.25" customHeight="1" x14ac:dyDescent="0.25">
      <c r="B364" s="1029" t="s">
        <v>199</v>
      </c>
      <c r="C364" s="1030"/>
      <c r="D364" s="1046" t="s">
        <v>79</v>
      </c>
      <c r="E364" s="629">
        <v>0</v>
      </c>
      <c r="F364" s="630">
        <v>0</v>
      </c>
      <c r="G364" s="213">
        <v>0</v>
      </c>
      <c r="H364" s="630">
        <v>0</v>
      </c>
      <c r="I364" s="213">
        <v>0</v>
      </c>
      <c r="J364" s="630">
        <v>0</v>
      </c>
      <c r="K364" s="213">
        <v>0</v>
      </c>
      <c r="L364" s="630">
        <v>0</v>
      </c>
      <c r="M364" s="213">
        <f t="shared" ref="M364:M365" si="63">E364+F364+G364+H364+I364+J364+K364+L364</f>
        <v>0</v>
      </c>
      <c r="N364" s="67" t="s">
        <v>158</v>
      </c>
    </row>
    <row r="365" spans="2:25" ht="38" thickBot="1" x14ac:dyDescent="0.3">
      <c r="B365" s="1034"/>
      <c r="C365" s="1035"/>
      <c r="D365" s="1052"/>
      <c r="E365" s="367">
        <v>25885993</v>
      </c>
      <c r="F365" s="213">
        <v>3545179</v>
      </c>
      <c r="G365" s="213">
        <v>1750000</v>
      </c>
      <c r="H365" s="213">
        <v>0</v>
      </c>
      <c r="I365" s="213">
        <v>0</v>
      </c>
      <c r="J365" s="213">
        <v>0</v>
      </c>
      <c r="K365" s="213">
        <v>0</v>
      </c>
      <c r="L365" s="215">
        <v>0</v>
      </c>
      <c r="M365" s="213">
        <f t="shared" si="63"/>
        <v>31181172</v>
      </c>
      <c r="N365" s="225" t="s">
        <v>162</v>
      </c>
      <c r="P365" s="391">
        <f>E354:E365</f>
        <v>25885993</v>
      </c>
      <c r="Q365" s="4"/>
      <c r="R365" s="4"/>
      <c r="S365" s="4"/>
      <c r="T365" s="4"/>
      <c r="U365" s="4"/>
      <c r="V365" s="4"/>
      <c r="W365" s="4"/>
      <c r="X365" s="4"/>
      <c r="Y365" s="4"/>
    </row>
    <row r="366" spans="2:25" ht="13.25" customHeight="1" x14ac:dyDescent="0.25">
      <c r="B366" s="1029" t="s">
        <v>199</v>
      </c>
      <c r="C366" s="1030"/>
      <c r="D366" s="1046" t="s">
        <v>988</v>
      </c>
      <c r="E366" s="732"/>
      <c r="F366" s="211"/>
      <c r="G366" s="211"/>
      <c r="H366" s="211"/>
      <c r="I366" s="211"/>
      <c r="J366" s="211"/>
      <c r="K366" s="211"/>
      <c r="L366" s="214"/>
      <c r="M366" s="211"/>
      <c r="N366" s="67" t="s">
        <v>158</v>
      </c>
      <c r="P366" s="391"/>
      <c r="Q366" s="4"/>
      <c r="R366" s="4"/>
      <c r="S366" s="4"/>
      <c r="T366" s="4"/>
      <c r="U366" s="4"/>
      <c r="V366" s="4"/>
      <c r="W366" s="4"/>
      <c r="X366" s="4"/>
      <c r="Y366" s="4"/>
    </row>
    <row r="367" spans="2:25" ht="38" thickBot="1" x14ac:dyDescent="0.3">
      <c r="B367" s="1034"/>
      <c r="C367" s="1035"/>
      <c r="D367" s="1052"/>
      <c r="E367" s="367">
        <f>25885993+2123095</f>
        <v>28009088</v>
      </c>
      <c r="F367" s="213">
        <f>3545179+276002</f>
        <v>3821181</v>
      </c>
      <c r="G367" s="213">
        <v>1750000</v>
      </c>
      <c r="H367" s="213">
        <v>0</v>
      </c>
      <c r="I367" s="213">
        <v>0</v>
      </c>
      <c r="J367" s="213">
        <v>0</v>
      </c>
      <c r="K367" s="213">
        <v>0</v>
      </c>
      <c r="L367" s="215">
        <v>0</v>
      </c>
      <c r="M367" s="213">
        <f>SUM(E367:L367)</f>
        <v>33580269</v>
      </c>
      <c r="N367" s="225" t="s">
        <v>162</v>
      </c>
      <c r="P367" s="391"/>
      <c r="Q367" s="4"/>
      <c r="R367" s="4"/>
      <c r="S367" s="4"/>
      <c r="T367" s="4"/>
      <c r="U367" s="4"/>
      <c r="V367" s="4"/>
      <c r="W367" s="4"/>
      <c r="X367" s="4"/>
      <c r="Y367" s="4"/>
    </row>
    <row r="368" spans="2:25" ht="13" x14ac:dyDescent="0.3">
      <c r="B368" s="996" t="s">
        <v>59</v>
      </c>
      <c r="C368" s="997"/>
      <c r="D368" s="791" t="s">
        <v>79</v>
      </c>
      <c r="E368" s="187">
        <f>E354+E355+E358+E359+E362+E364+E365</f>
        <v>725576094</v>
      </c>
      <c r="F368" s="187">
        <f t="shared" ref="F368:M368" si="64">F354+F355+F358+F359+F362+F364+F365</f>
        <v>108646924</v>
      </c>
      <c r="G368" s="187">
        <f t="shared" si="64"/>
        <v>164772323</v>
      </c>
      <c r="H368" s="187">
        <f t="shared" si="64"/>
        <v>5000000</v>
      </c>
      <c r="I368" s="187">
        <f t="shared" si="64"/>
        <v>0</v>
      </c>
      <c r="J368" s="187">
        <f t="shared" si="64"/>
        <v>0</v>
      </c>
      <c r="K368" s="187">
        <f t="shared" si="64"/>
        <v>0</v>
      </c>
      <c r="L368" s="187">
        <f t="shared" si="64"/>
        <v>0</v>
      </c>
      <c r="M368" s="187">
        <f t="shared" si="64"/>
        <v>1003995341</v>
      </c>
      <c r="N368" s="67"/>
    </row>
    <row r="369" spans="2:14" ht="13" x14ac:dyDescent="0.3">
      <c r="B369" s="991" t="s">
        <v>164</v>
      </c>
      <c r="C369" s="992"/>
      <c r="D369" s="733"/>
      <c r="E369" s="622">
        <f>E354+E358+E362+E364+E365</f>
        <v>725576094</v>
      </c>
      <c r="F369" s="622">
        <f t="shared" ref="F369:M369" si="65">F354+F358+F362+F364+F365</f>
        <v>108646924</v>
      </c>
      <c r="G369" s="622">
        <f t="shared" si="65"/>
        <v>164772323</v>
      </c>
      <c r="H369" s="622">
        <f t="shared" si="65"/>
        <v>5000000</v>
      </c>
      <c r="I369" s="622">
        <f t="shared" si="65"/>
        <v>0</v>
      </c>
      <c r="J369" s="622">
        <f t="shared" si="65"/>
        <v>0</v>
      </c>
      <c r="K369" s="622">
        <f t="shared" si="65"/>
        <v>0</v>
      </c>
      <c r="L369" s="622">
        <f t="shared" si="65"/>
        <v>0</v>
      </c>
      <c r="M369" s="622">
        <f t="shared" si="65"/>
        <v>1003995341</v>
      </c>
      <c r="N369" s="288"/>
    </row>
    <row r="370" spans="2:14" ht="13" x14ac:dyDescent="0.3">
      <c r="B370" s="1053" t="s">
        <v>478</v>
      </c>
      <c r="C370" s="1054"/>
      <c r="D370" s="733"/>
      <c r="E370" s="625">
        <f>E368-E369</f>
        <v>0</v>
      </c>
      <c r="F370" s="625">
        <f t="shared" ref="F370:M370" si="66">F368-F369</f>
        <v>0</v>
      </c>
      <c r="G370" s="625">
        <f t="shared" si="66"/>
        <v>0</v>
      </c>
      <c r="H370" s="625">
        <f t="shared" si="66"/>
        <v>0</v>
      </c>
      <c r="I370" s="625">
        <f t="shared" si="66"/>
        <v>0</v>
      </c>
      <c r="J370" s="625">
        <f t="shared" si="66"/>
        <v>0</v>
      </c>
      <c r="K370" s="625">
        <f t="shared" si="66"/>
        <v>0</v>
      </c>
      <c r="L370" s="625">
        <f t="shared" si="66"/>
        <v>0</v>
      </c>
      <c r="M370" s="625">
        <f t="shared" si="66"/>
        <v>0</v>
      </c>
      <c r="N370" s="288"/>
    </row>
    <row r="371" spans="2:14" ht="13.5" thickBot="1" x14ac:dyDescent="0.35">
      <c r="B371" s="1055" t="s">
        <v>479</v>
      </c>
      <c r="C371" s="1056"/>
      <c r="D371" s="1057"/>
      <c r="E371" s="627">
        <f>E365</f>
        <v>25885993</v>
      </c>
      <c r="F371" s="627">
        <f t="shared" ref="F371:M371" si="67">F365</f>
        <v>3545179</v>
      </c>
      <c r="G371" s="627">
        <f t="shared" si="67"/>
        <v>1750000</v>
      </c>
      <c r="H371" s="627">
        <f t="shared" si="67"/>
        <v>0</v>
      </c>
      <c r="I371" s="627">
        <f t="shared" si="67"/>
        <v>0</v>
      </c>
      <c r="J371" s="627">
        <f t="shared" si="67"/>
        <v>0</v>
      </c>
      <c r="K371" s="627">
        <f t="shared" si="67"/>
        <v>0</v>
      </c>
      <c r="L371" s="627">
        <f t="shared" si="67"/>
        <v>0</v>
      </c>
      <c r="M371" s="627">
        <f t="shared" si="67"/>
        <v>31181172</v>
      </c>
      <c r="N371" s="288"/>
    </row>
    <row r="372" spans="2:14" ht="13" x14ac:dyDescent="0.3">
      <c r="B372" s="996" t="s">
        <v>59</v>
      </c>
      <c r="C372" s="997"/>
      <c r="D372" s="791" t="s">
        <v>988</v>
      </c>
      <c r="E372" s="727">
        <f>E356+E357+E360+E361+E363+E366+E367+1</f>
        <v>791732947</v>
      </c>
      <c r="F372" s="727">
        <f>F356+F357+F360+F361+F363+F366+F367+1</f>
        <v>117388897</v>
      </c>
      <c r="G372" s="727">
        <f t="shared" ref="G372:L372" si="68">G356+G357+G360+G361+G363+G366+G367</f>
        <v>167869791</v>
      </c>
      <c r="H372" s="727">
        <f t="shared" si="68"/>
        <v>5000000</v>
      </c>
      <c r="I372" s="727">
        <f t="shared" si="68"/>
        <v>0</v>
      </c>
      <c r="J372" s="727">
        <f t="shared" si="68"/>
        <v>0</v>
      </c>
      <c r="K372" s="727">
        <f t="shared" si="68"/>
        <v>0</v>
      </c>
      <c r="L372" s="727">
        <f t="shared" si="68"/>
        <v>0</v>
      </c>
      <c r="M372" s="727">
        <f>SUM(E372:L372)</f>
        <v>1081991635</v>
      </c>
      <c r="N372" s="288"/>
    </row>
    <row r="373" spans="2:14" ht="13" x14ac:dyDescent="0.3">
      <c r="B373" s="991" t="s">
        <v>164</v>
      </c>
      <c r="C373" s="992"/>
      <c r="D373" s="733"/>
      <c r="E373" s="626">
        <f>E372</f>
        <v>791732947</v>
      </c>
      <c r="F373" s="626">
        <f t="shared" ref="F373:M373" si="69">F372</f>
        <v>117388897</v>
      </c>
      <c r="G373" s="626">
        <f t="shared" si="69"/>
        <v>167869791</v>
      </c>
      <c r="H373" s="626">
        <f t="shared" si="69"/>
        <v>5000000</v>
      </c>
      <c r="I373" s="626">
        <f t="shared" si="69"/>
        <v>0</v>
      </c>
      <c r="J373" s="626">
        <f t="shared" si="69"/>
        <v>0</v>
      </c>
      <c r="K373" s="626">
        <f t="shared" si="69"/>
        <v>0</v>
      </c>
      <c r="L373" s="626">
        <f t="shared" si="69"/>
        <v>0</v>
      </c>
      <c r="M373" s="626">
        <f t="shared" si="69"/>
        <v>1081991635</v>
      </c>
      <c r="N373" s="288"/>
    </row>
    <row r="374" spans="2:14" ht="13" x14ac:dyDescent="0.3">
      <c r="B374" s="1053" t="s">
        <v>478</v>
      </c>
      <c r="C374" s="1054"/>
      <c r="D374" s="733"/>
      <c r="E374" s="626">
        <v>0</v>
      </c>
      <c r="F374" s="626">
        <v>0</v>
      </c>
      <c r="G374" s="626">
        <v>0</v>
      </c>
      <c r="H374" s="626">
        <v>0</v>
      </c>
      <c r="I374" s="626">
        <v>0</v>
      </c>
      <c r="J374" s="626">
        <v>0</v>
      </c>
      <c r="K374" s="626">
        <v>0</v>
      </c>
      <c r="L374" s="626">
        <v>0</v>
      </c>
      <c r="M374" s="626">
        <v>0</v>
      </c>
      <c r="N374" s="288"/>
    </row>
    <row r="375" spans="2:14" ht="13.5" thickBot="1" x14ac:dyDescent="0.35">
      <c r="B375" s="1055" t="s">
        <v>479</v>
      </c>
      <c r="C375" s="1056"/>
      <c r="D375" s="1057"/>
      <c r="E375" s="728">
        <f>E367</f>
        <v>28009088</v>
      </c>
      <c r="F375" s="728">
        <f t="shared" ref="F375:M375" si="70">F367</f>
        <v>3821181</v>
      </c>
      <c r="G375" s="728">
        <f t="shared" si="70"/>
        <v>1750000</v>
      </c>
      <c r="H375" s="728">
        <f t="shared" si="70"/>
        <v>0</v>
      </c>
      <c r="I375" s="728">
        <f t="shared" si="70"/>
        <v>0</v>
      </c>
      <c r="J375" s="728">
        <f t="shared" si="70"/>
        <v>0</v>
      </c>
      <c r="K375" s="728">
        <f t="shared" si="70"/>
        <v>0</v>
      </c>
      <c r="L375" s="728">
        <f t="shared" si="70"/>
        <v>0</v>
      </c>
      <c r="M375" s="728">
        <f t="shared" si="70"/>
        <v>33580269</v>
      </c>
      <c r="N375" s="288"/>
    </row>
    <row r="376" spans="2:14" ht="13.25" customHeight="1" x14ac:dyDescent="0.3">
      <c r="B376" s="1058" t="s">
        <v>302</v>
      </c>
      <c r="C376" s="1059"/>
      <c r="D376" s="1064" t="s">
        <v>79</v>
      </c>
      <c r="E376" s="261"/>
      <c r="F376" s="261"/>
      <c r="G376" s="261"/>
      <c r="H376" s="261"/>
      <c r="I376" s="261"/>
      <c r="J376" s="261"/>
      <c r="K376" s="261"/>
      <c r="L376" s="261"/>
      <c r="M376" s="261"/>
      <c r="N376" s="67"/>
    </row>
    <row r="377" spans="2:14" ht="13" x14ac:dyDescent="0.3">
      <c r="B377" s="1060"/>
      <c r="C377" s="1061"/>
      <c r="D377" s="1065"/>
      <c r="E377" s="262">
        <v>73823646</v>
      </c>
      <c r="F377" s="262">
        <v>10897474</v>
      </c>
      <c r="G377" s="262">
        <v>20008547</v>
      </c>
      <c r="H377" s="262">
        <v>0</v>
      </c>
      <c r="I377" s="262">
        <v>0</v>
      </c>
      <c r="J377" s="262">
        <v>0</v>
      </c>
      <c r="K377" s="262">
        <v>0</v>
      </c>
      <c r="L377" s="262">
        <v>0</v>
      </c>
      <c r="M377" s="262">
        <f>SUM(E377:L377)</f>
        <v>104729667</v>
      </c>
      <c r="N377" s="67" t="s">
        <v>158</v>
      </c>
    </row>
    <row r="378" spans="2:14" ht="38.5" thickBot="1" x14ac:dyDescent="0.35">
      <c r="B378" s="1062"/>
      <c r="C378" s="1063"/>
      <c r="D378" s="1066"/>
      <c r="E378" s="263"/>
      <c r="F378" s="263"/>
      <c r="G378" s="263"/>
      <c r="H378" s="263"/>
      <c r="I378" s="263"/>
      <c r="J378" s="263"/>
      <c r="K378" s="263"/>
      <c r="L378" s="263"/>
      <c r="M378" s="263"/>
      <c r="N378" s="225" t="s">
        <v>162</v>
      </c>
    </row>
    <row r="379" spans="2:14" ht="13.25" customHeight="1" x14ac:dyDescent="0.3">
      <c r="B379" s="1058" t="s">
        <v>302</v>
      </c>
      <c r="C379" s="1059"/>
      <c r="D379" s="1067" t="s">
        <v>988</v>
      </c>
      <c r="E379" s="262">
        <f>73823646+5427102-2512800</f>
        <v>76737948</v>
      </c>
      <c r="F379" s="262">
        <f>10897474+705523-326664</f>
        <v>11276333</v>
      </c>
      <c r="G379" s="262">
        <v>20008546</v>
      </c>
      <c r="H379" s="262">
        <v>0</v>
      </c>
      <c r="I379" s="262">
        <v>0</v>
      </c>
      <c r="J379" s="262">
        <v>0</v>
      </c>
      <c r="K379" s="262">
        <v>0</v>
      </c>
      <c r="L379" s="262">
        <v>0</v>
      </c>
      <c r="M379" s="262">
        <f>SUM(E379:L379)</f>
        <v>108022827</v>
      </c>
      <c r="N379" s="67" t="s">
        <v>158</v>
      </c>
    </row>
    <row r="380" spans="2:14" ht="38.5" thickBot="1" x14ac:dyDescent="0.35">
      <c r="B380" s="1062"/>
      <c r="C380" s="1063"/>
      <c r="D380" s="1068"/>
      <c r="E380" s="262"/>
      <c r="F380" s="262"/>
      <c r="G380" s="262"/>
      <c r="H380" s="262"/>
      <c r="I380" s="262"/>
      <c r="J380" s="262"/>
      <c r="K380" s="262"/>
      <c r="L380" s="262"/>
      <c r="M380" s="262"/>
      <c r="N380" s="225" t="s">
        <v>162</v>
      </c>
    </row>
    <row r="381" spans="2:14" ht="13" x14ac:dyDescent="0.3">
      <c r="B381" s="996" t="s">
        <v>59</v>
      </c>
      <c r="C381" s="997"/>
      <c r="D381" s="1069" t="s">
        <v>79</v>
      </c>
      <c r="E381" s="187">
        <f>E377+E378</f>
        <v>73823646</v>
      </c>
      <c r="F381" s="187">
        <f t="shared" ref="F381:M381" si="71">F377+F378</f>
        <v>10897474</v>
      </c>
      <c r="G381" s="187">
        <f t="shared" si="71"/>
        <v>20008547</v>
      </c>
      <c r="H381" s="187">
        <f t="shared" si="71"/>
        <v>0</v>
      </c>
      <c r="I381" s="187">
        <f t="shared" si="71"/>
        <v>0</v>
      </c>
      <c r="J381" s="187">
        <f t="shared" si="71"/>
        <v>0</v>
      </c>
      <c r="K381" s="187">
        <f t="shared" si="71"/>
        <v>0</v>
      </c>
      <c r="L381" s="187">
        <f t="shared" si="71"/>
        <v>0</v>
      </c>
      <c r="M381" s="187">
        <f t="shared" si="71"/>
        <v>104729667</v>
      </c>
      <c r="N381" s="288"/>
    </row>
    <row r="382" spans="2:14" ht="13" x14ac:dyDescent="0.3">
      <c r="B382" s="991" t="s">
        <v>164</v>
      </c>
      <c r="C382" s="992"/>
      <c r="D382" s="1070"/>
      <c r="E382" s="622">
        <f>E377</f>
        <v>73823646</v>
      </c>
      <c r="F382" s="622">
        <f t="shared" ref="F382:M382" si="72">F377</f>
        <v>10897474</v>
      </c>
      <c r="G382" s="622">
        <f t="shared" si="72"/>
        <v>20008547</v>
      </c>
      <c r="H382" s="622">
        <f t="shared" si="72"/>
        <v>0</v>
      </c>
      <c r="I382" s="622">
        <f t="shared" si="72"/>
        <v>0</v>
      </c>
      <c r="J382" s="622">
        <f t="shared" si="72"/>
        <v>0</v>
      </c>
      <c r="K382" s="622">
        <f t="shared" si="72"/>
        <v>0</v>
      </c>
      <c r="L382" s="622">
        <f t="shared" si="72"/>
        <v>0</v>
      </c>
      <c r="M382" s="622">
        <f t="shared" si="72"/>
        <v>104729667</v>
      </c>
      <c r="N382" s="288"/>
    </row>
    <row r="383" spans="2:14" ht="13.5" thickBot="1" x14ac:dyDescent="0.35">
      <c r="B383" s="1043" t="s">
        <v>166</v>
      </c>
      <c r="C383" s="1044"/>
      <c r="D383" s="1045"/>
      <c r="E383" s="628">
        <f>E378</f>
        <v>0</v>
      </c>
      <c r="F383" s="628">
        <f t="shared" ref="F383:M383" si="73">F378</f>
        <v>0</v>
      </c>
      <c r="G383" s="628">
        <f t="shared" si="73"/>
        <v>0</v>
      </c>
      <c r="H383" s="628">
        <f t="shared" si="73"/>
        <v>0</v>
      </c>
      <c r="I383" s="628">
        <f t="shared" si="73"/>
        <v>0</v>
      </c>
      <c r="J383" s="628">
        <f t="shared" si="73"/>
        <v>0</v>
      </c>
      <c r="K383" s="628">
        <f t="shared" si="73"/>
        <v>0</v>
      </c>
      <c r="L383" s="628">
        <f t="shared" si="73"/>
        <v>0</v>
      </c>
      <c r="M383" s="628">
        <f t="shared" si="73"/>
        <v>0</v>
      </c>
      <c r="N383" s="288"/>
    </row>
    <row r="384" spans="2:14" ht="13" x14ac:dyDescent="0.3">
      <c r="B384" s="996" t="s">
        <v>59</v>
      </c>
      <c r="C384" s="997"/>
      <c r="D384" s="1069" t="s">
        <v>988</v>
      </c>
      <c r="E384" s="727">
        <f>E379+E380</f>
        <v>76737948</v>
      </c>
      <c r="F384" s="727">
        <f t="shared" ref="F384:M384" si="74">F379+F380</f>
        <v>11276333</v>
      </c>
      <c r="G384" s="727">
        <f t="shared" si="74"/>
        <v>20008546</v>
      </c>
      <c r="H384" s="727">
        <f t="shared" si="74"/>
        <v>0</v>
      </c>
      <c r="I384" s="727">
        <f t="shared" si="74"/>
        <v>0</v>
      </c>
      <c r="J384" s="727">
        <f t="shared" si="74"/>
        <v>0</v>
      </c>
      <c r="K384" s="727">
        <f t="shared" si="74"/>
        <v>0</v>
      </c>
      <c r="L384" s="727">
        <f t="shared" si="74"/>
        <v>0</v>
      </c>
      <c r="M384" s="727">
        <f t="shared" si="74"/>
        <v>108022827</v>
      </c>
      <c r="N384" s="288"/>
    </row>
    <row r="385" spans="1:15" ht="13" x14ac:dyDescent="0.3">
      <c r="B385" s="991" t="s">
        <v>164</v>
      </c>
      <c r="C385" s="992"/>
      <c r="D385" s="1070"/>
      <c r="E385" s="626">
        <f>E379</f>
        <v>76737948</v>
      </c>
      <c r="F385" s="626">
        <f t="shared" ref="F385:M385" si="75">F379</f>
        <v>11276333</v>
      </c>
      <c r="G385" s="626">
        <f t="shared" si="75"/>
        <v>20008546</v>
      </c>
      <c r="H385" s="626">
        <f t="shared" si="75"/>
        <v>0</v>
      </c>
      <c r="I385" s="626">
        <f t="shared" si="75"/>
        <v>0</v>
      </c>
      <c r="J385" s="626">
        <f t="shared" si="75"/>
        <v>0</v>
      </c>
      <c r="K385" s="626">
        <f t="shared" si="75"/>
        <v>0</v>
      </c>
      <c r="L385" s="626">
        <f t="shared" si="75"/>
        <v>0</v>
      </c>
      <c r="M385" s="626">
        <f t="shared" si="75"/>
        <v>108022827</v>
      </c>
      <c r="N385" s="288"/>
    </row>
    <row r="386" spans="1:15" ht="13.5" thickBot="1" x14ac:dyDescent="0.35">
      <c r="B386" s="1043" t="s">
        <v>166</v>
      </c>
      <c r="C386" s="1044"/>
      <c r="D386" s="1045"/>
      <c r="E386" s="728">
        <f>E380</f>
        <v>0</v>
      </c>
      <c r="F386" s="728">
        <f t="shared" ref="F386:M386" si="76">F380</f>
        <v>0</v>
      </c>
      <c r="G386" s="728">
        <f t="shared" si="76"/>
        <v>0</v>
      </c>
      <c r="H386" s="728">
        <f t="shared" si="76"/>
        <v>0</v>
      </c>
      <c r="I386" s="728">
        <f t="shared" si="76"/>
        <v>0</v>
      </c>
      <c r="J386" s="728">
        <f t="shared" si="76"/>
        <v>0</v>
      </c>
      <c r="K386" s="728">
        <f t="shared" si="76"/>
        <v>0</v>
      </c>
      <c r="L386" s="728">
        <f t="shared" si="76"/>
        <v>0</v>
      </c>
      <c r="M386" s="728">
        <f t="shared" si="76"/>
        <v>0</v>
      </c>
      <c r="N386" s="288"/>
    </row>
    <row r="387" spans="1:15" ht="13.5" thickBot="1" x14ac:dyDescent="0.35">
      <c r="B387" s="179" t="s">
        <v>958</v>
      </c>
      <c r="C387" s="180"/>
      <c r="D387" s="584" t="s">
        <v>79</v>
      </c>
      <c r="E387" s="187">
        <f>E381+E368+E346</f>
        <v>1020791133</v>
      </c>
      <c r="F387" s="187">
        <f t="shared" ref="F387:M387" si="77">F381+F368+F346</f>
        <v>151367473</v>
      </c>
      <c r="G387" s="187">
        <f>G381+G368+G346-1</f>
        <v>2446577798</v>
      </c>
      <c r="H387" s="187">
        <f t="shared" si="77"/>
        <v>2567990897</v>
      </c>
      <c r="I387" s="187">
        <f t="shared" si="77"/>
        <v>1247270775</v>
      </c>
      <c r="J387" s="187">
        <f t="shared" si="77"/>
        <v>51900000</v>
      </c>
      <c r="K387" s="187">
        <f t="shared" si="77"/>
        <v>302970855</v>
      </c>
      <c r="L387" s="187">
        <f t="shared" si="77"/>
        <v>132053794</v>
      </c>
      <c r="M387" s="187">
        <f t="shared" si="77"/>
        <v>7920922726</v>
      </c>
      <c r="O387" s="394">
        <f>M387-M388-M389</f>
        <v>0</v>
      </c>
    </row>
    <row r="388" spans="1:15" ht="13" x14ac:dyDescent="0.3">
      <c r="B388" s="181" t="s">
        <v>164</v>
      </c>
      <c r="C388" s="294"/>
      <c r="D388" s="294"/>
      <c r="E388" s="187">
        <f>E382+E369+E347</f>
        <v>992337287</v>
      </c>
      <c r="F388" s="187">
        <f t="shared" ref="F388:M388" si="78">F382+F369+F347</f>
        <v>143052292</v>
      </c>
      <c r="G388" s="187">
        <f t="shared" si="78"/>
        <v>2184852258</v>
      </c>
      <c r="H388" s="187">
        <f t="shared" si="78"/>
        <v>2557025897</v>
      </c>
      <c r="I388" s="187">
        <f t="shared" si="78"/>
        <v>775925000</v>
      </c>
      <c r="J388" s="187">
        <f t="shared" si="78"/>
        <v>51900000</v>
      </c>
      <c r="K388" s="187">
        <f t="shared" si="78"/>
        <v>298970855</v>
      </c>
      <c r="L388" s="187">
        <f t="shared" si="78"/>
        <v>132053794</v>
      </c>
      <c r="M388" s="187">
        <f t="shared" si="78"/>
        <v>7136117384</v>
      </c>
    </row>
    <row r="389" spans="1:15" ht="13" x14ac:dyDescent="0.3">
      <c r="B389" s="181" t="s">
        <v>959</v>
      </c>
      <c r="C389" s="294"/>
      <c r="D389" s="294"/>
      <c r="E389" s="622">
        <f>E374+E348</f>
        <v>28453846</v>
      </c>
      <c r="F389" s="622">
        <f t="shared" ref="F389:M389" si="79">F374+F348</f>
        <v>8315181</v>
      </c>
      <c r="G389" s="622">
        <f t="shared" si="79"/>
        <v>261725541</v>
      </c>
      <c r="H389" s="622">
        <f t="shared" si="79"/>
        <v>10965000</v>
      </c>
      <c r="I389" s="622">
        <f t="shared" si="79"/>
        <v>471345775</v>
      </c>
      <c r="J389" s="622">
        <f t="shared" si="79"/>
        <v>0</v>
      </c>
      <c r="K389" s="622">
        <f t="shared" si="79"/>
        <v>4000000</v>
      </c>
      <c r="L389" s="622">
        <f t="shared" si="79"/>
        <v>0</v>
      </c>
      <c r="M389" s="622">
        <f t="shared" si="79"/>
        <v>784805342</v>
      </c>
    </row>
    <row r="390" spans="1:15" ht="13.5" thickBot="1" x14ac:dyDescent="0.35">
      <c r="B390" s="192" t="s">
        <v>166</v>
      </c>
      <c r="C390" s="295"/>
      <c r="D390" s="295"/>
      <c r="E390" s="627">
        <f>E371</f>
        <v>25885993</v>
      </c>
      <c r="F390" s="627">
        <f t="shared" ref="F390:M390" si="80">F371</f>
        <v>3545179</v>
      </c>
      <c r="G390" s="627">
        <f t="shared" si="80"/>
        <v>1750000</v>
      </c>
      <c r="H390" s="627">
        <f t="shared" si="80"/>
        <v>0</v>
      </c>
      <c r="I390" s="627">
        <f t="shared" si="80"/>
        <v>0</v>
      </c>
      <c r="J390" s="627">
        <f t="shared" si="80"/>
        <v>0</v>
      </c>
      <c r="K390" s="627">
        <f t="shared" si="80"/>
        <v>0</v>
      </c>
      <c r="L390" s="627">
        <f t="shared" si="80"/>
        <v>0</v>
      </c>
      <c r="M390" s="627">
        <f t="shared" si="80"/>
        <v>31181172</v>
      </c>
    </row>
    <row r="391" spans="1:15" ht="13.5" thickBot="1" x14ac:dyDescent="0.35">
      <c r="B391" s="179" t="s">
        <v>958</v>
      </c>
      <c r="C391" s="180"/>
      <c r="D391" s="791" t="s">
        <v>988</v>
      </c>
      <c r="E391" s="824">
        <f>E384+E372+E350</f>
        <v>1118072256</v>
      </c>
      <c r="F391" s="824">
        <f t="shared" ref="F391:M391" si="81">F384+F372+F350</f>
        <v>164161024</v>
      </c>
      <c r="G391" s="824">
        <f t="shared" si="81"/>
        <v>2487877226</v>
      </c>
      <c r="H391" s="824">
        <f t="shared" si="81"/>
        <v>2760069366</v>
      </c>
      <c r="I391" s="824">
        <f t="shared" si="81"/>
        <v>1242868849</v>
      </c>
      <c r="J391" s="824">
        <f t="shared" si="81"/>
        <v>51900000</v>
      </c>
      <c r="K391" s="824">
        <f t="shared" si="81"/>
        <v>89520811</v>
      </c>
      <c r="L391" s="824">
        <f t="shared" si="81"/>
        <v>132406352</v>
      </c>
      <c r="M391" s="824">
        <f t="shared" si="81"/>
        <v>8046875884</v>
      </c>
    </row>
    <row r="392" spans="1:15" ht="13" x14ac:dyDescent="0.3">
      <c r="B392" s="181" t="s">
        <v>164</v>
      </c>
      <c r="C392" s="294"/>
      <c r="D392" s="294"/>
      <c r="E392" s="626">
        <f>E385+E373+E351</f>
        <v>1089329356</v>
      </c>
      <c r="F392" s="626">
        <f t="shared" ref="F392:M392" si="82">F385+F373+F351</f>
        <v>155851843</v>
      </c>
      <c r="G392" s="626">
        <f t="shared" si="82"/>
        <v>2227484740</v>
      </c>
      <c r="H392" s="626">
        <f t="shared" si="82"/>
        <v>2748904366</v>
      </c>
      <c r="I392" s="626">
        <f t="shared" si="82"/>
        <v>775925000</v>
      </c>
      <c r="J392" s="626">
        <f t="shared" si="82"/>
        <v>51900000</v>
      </c>
      <c r="K392" s="626">
        <f t="shared" si="82"/>
        <v>85520811</v>
      </c>
      <c r="L392" s="626">
        <f t="shared" si="82"/>
        <v>132406352</v>
      </c>
      <c r="M392" s="626">
        <f t="shared" si="82"/>
        <v>7267322468</v>
      </c>
    </row>
    <row r="393" spans="1:15" ht="13" x14ac:dyDescent="0.3">
      <c r="B393" s="181" t="s">
        <v>959</v>
      </c>
      <c r="C393" s="294"/>
      <c r="D393" s="294"/>
      <c r="E393" s="626">
        <f>E374+E352</f>
        <v>28742900</v>
      </c>
      <c r="F393" s="626">
        <f t="shared" ref="F393:M393" si="83">F374+F352</f>
        <v>8309181</v>
      </c>
      <c r="G393" s="626">
        <f t="shared" si="83"/>
        <v>260392486</v>
      </c>
      <c r="H393" s="626">
        <f t="shared" si="83"/>
        <v>11165000</v>
      </c>
      <c r="I393" s="626">
        <f t="shared" si="83"/>
        <v>466943849</v>
      </c>
      <c r="J393" s="626">
        <f t="shared" si="83"/>
        <v>0</v>
      </c>
      <c r="K393" s="626">
        <f t="shared" si="83"/>
        <v>4000000</v>
      </c>
      <c r="L393" s="626">
        <f t="shared" si="83"/>
        <v>0</v>
      </c>
      <c r="M393" s="626">
        <f t="shared" si="83"/>
        <v>779553416</v>
      </c>
    </row>
    <row r="394" spans="1:15" ht="13.5" thickBot="1" x14ac:dyDescent="0.35">
      <c r="B394" s="192" t="s">
        <v>166</v>
      </c>
      <c r="C394" s="295"/>
      <c r="D394" s="295"/>
      <c r="E394" s="728">
        <f>E375</f>
        <v>28009088</v>
      </c>
      <c r="F394" s="728">
        <f t="shared" ref="F394:M394" si="84">F375</f>
        <v>3821181</v>
      </c>
      <c r="G394" s="728">
        <f t="shared" si="84"/>
        <v>1750000</v>
      </c>
      <c r="H394" s="728">
        <f t="shared" si="84"/>
        <v>0</v>
      </c>
      <c r="I394" s="728">
        <f t="shared" si="84"/>
        <v>0</v>
      </c>
      <c r="J394" s="728">
        <f t="shared" si="84"/>
        <v>0</v>
      </c>
      <c r="K394" s="728">
        <f t="shared" si="84"/>
        <v>0</v>
      </c>
      <c r="L394" s="728">
        <f t="shared" si="84"/>
        <v>0</v>
      </c>
      <c r="M394" s="728">
        <f t="shared" si="84"/>
        <v>33580269</v>
      </c>
    </row>
    <row r="396" spans="1:15" s="390" customFormat="1" x14ac:dyDescent="0.25">
      <c r="A396" s="392"/>
      <c r="N396" s="392"/>
      <c r="O396" s="392"/>
    </row>
    <row r="397" spans="1:15" s="815" customFormat="1" ht="13" x14ac:dyDescent="0.3">
      <c r="A397" s="814"/>
      <c r="C397" s="815" t="s">
        <v>1120</v>
      </c>
      <c r="E397" s="825">
        <f>E169+E197+E216</f>
        <v>1020791133</v>
      </c>
      <c r="F397" s="825">
        <f t="shared" ref="F397:M397" si="85">F169+F197+F216</f>
        <v>151367473</v>
      </c>
      <c r="G397" s="825">
        <f t="shared" si="85"/>
        <v>2446577799</v>
      </c>
      <c r="H397" s="825">
        <f t="shared" si="85"/>
        <v>2567990897</v>
      </c>
      <c r="I397" s="825">
        <f t="shared" si="85"/>
        <v>1247270775</v>
      </c>
      <c r="J397" s="825">
        <f t="shared" si="85"/>
        <v>51900000</v>
      </c>
      <c r="K397" s="825">
        <f t="shared" si="85"/>
        <v>302970855</v>
      </c>
      <c r="L397" s="825">
        <f t="shared" si="85"/>
        <v>132053794</v>
      </c>
      <c r="M397" s="825">
        <f t="shared" si="85"/>
        <v>7920922727</v>
      </c>
      <c r="N397" s="814"/>
      <c r="O397" s="814"/>
    </row>
    <row r="398" spans="1:15" s="390" customFormat="1" x14ac:dyDescent="0.25">
      <c r="A398" s="392"/>
      <c r="E398" s="391">
        <f t="shared" ref="E398:M398" si="86">E170+E198+E217</f>
        <v>992337287</v>
      </c>
      <c r="F398" s="391">
        <f t="shared" si="86"/>
        <v>143052292</v>
      </c>
      <c r="G398" s="391">
        <f t="shared" si="86"/>
        <v>2184852258</v>
      </c>
      <c r="H398" s="391">
        <f t="shared" si="86"/>
        <v>2557025897</v>
      </c>
      <c r="I398" s="391">
        <f t="shared" si="86"/>
        <v>775925000</v>
      </c>
      <c r="J398" s="391">
        <f t="shared" si="86"/>
        <v>51900000</v>
      </c>
      <c r="K398" s="391">
        <f t="shared" si="86"/>
        <v>298970855</v>
      </c>
      <c r="L398" s="391">
        <f t="shared" si="86"/>
        <v>132053794</v>
      </c>
      <c r="M398" s="391">
        <f t="shared" si="86"/>
        <v>7136117385</v>
      </c>
      <c r="N398" s="392"/>
      <c r="O398" s="392"/>
    </row>
    <row r="399" spans="1:15" s="390" customFormat="1" x14ac:dyDescent="0.25">
      <c r="A399" s="392"/>
      <c r="E399" s="391">
        <f>E171+E199</f>
        <v>28453846</v>
      </c>
      <c r="F399" s="391">
        <f t="shared" ref="F399:M399" si="87">F171+F199</f>
        <v>8315181</v>
      </c>
      <c r="G399" s="391">
        <f t="shared" si="87"/>
        <v>261725541</v>
      </c>
      <c r="H399" s="391">
        <f t="shared" si="87"/>
        <v>10965000</v>
      </c>
      <c r="I399" s="391">
        <f t="shared" si="87"/>
        <v>471345775</v>
      </c>
      <c r="J399" s="391">
        <f t="shared" si="87"/>
        <v>0</v>
      </c>
      <c r="K399" s="391">
        <f t="shared" si="87"/>
        <v>4000000</v>
      </c>
      <c r="L399" s="391">
        <f t="shared" si="87"/>
        <v>0</v>
      </c>
      <c r="M399" s="391">
        <f t="shared" si="87"/>
        <v>784805342</v>
      </c>
      <c r="N399" s="392"/>
      <c r="O399" s="392"/>
    </row>
    <row r="400" spans="1:15" s="390" customFormat="1" x14ac:dyDescent="0.25">
      <c r="A400" s="392"/>
      <c r="E400" s="391">
        <f>E200</f>
        <v>25885993</v>
      </c>
      <c r="F400" s="391">
        <f t="shared" ref="F400:M400" si="88">F200</f>
        <v>3545179</v>
      </c>
      <c r="G400" s="391">
        <f t="shared" si="88"/>
        <v>1750000</v>
      </c>
      <c r="H400" s="391">
        <f t="shared" si="88"/>
        <v>0</v>
      </c>
      <c r="I400" s="391">
        <f t="shared" si="88"/>
        <v>0</v>
      </c>
      <c r="J400" s="391">
        <f t="shared" si="88"/>
        <v>0</v>
      </c>
      <c r="K400" s="391">
        <f t="shared" si="88"/>
        <v>0</v>
      </c>
      <c r="L400" s="391">
        <f t="shared" si="88"/>
        <v>0</v>
      </c>
      <c r="M400" s="391">
        <f t="shared" si="88"/>
        <v>31181172</v>
      </c>
      <c r="N400" s="392"/>
      <c r="O400" s="392"/>
    </row>
    <row r="401" spans="1:15" s="815" customFormat="1" ht="13" x14ac:dyDescent="0.3">
      <c r="A401" s="814"/>
      <c r="C401" s="815" t="s">
        <v>1121</v>
      </c>
      <c r="E401" s="825">
        <f>E173+E201+E219</f>
        <v>1118072256</v>
      </c>
      <c r="F401" s="825">
        <f t="shared" ref="F401:M401" si="89">F173+F201+F219</f>
        <v>164161024</v>
      </c>
      <c r="G401" s="825">
        <f t="shared" si="89"/>
        <v>2487877226</v>
      </c>
      <c r="H401" s="825">
        <f t="shared" si="89"/>
        <v>2760069366</v>
      </c>
      <c r="I401" s="825">
        <f t="shared" si="89"/>
        <v>1242868849</v>
      </c>
      <c r="J401" s="825">
        <f t="shared" si="89"/>
        <v>51900000</v>
      </c>
      <c r="K401" s="825">
        <f t="shared" si="89"/>
        <v>89520811</v>
      </c>
      <c r="L401" s="825">
        <f t="shared" si="89"/>
        <v>132406352</v>
      </c>
      <c r="M401" s="825">
        <f t="shared" si="89"/>
        <v>8046875884</v>
      </c>
      <c r="N401" s="814"/>
      <c r="O401" s="814"/>
    </row>
    <row r="402" spans="1:15" s="390" customFormat="1" x14ac:dyDescent="0.25">
      <c r="A402" s="392"/>
      <c r="E402" s="391">
        <f>E174+E202+E220</f>
        <v>1089329356</v>
      </c>
      <c r="F402" s="391">
        <f t="shared" ref="F402:M402" si="90">F174+F202+F220</f>
        <v>155851843</v>
      </c>
      <c r="G402" s="391">
        <f t="shared" si="90"/>
        <v>2227484740</v>
      </c>
      <c r="H402" s="391">
        <f t="shared" si="90"/>
        <v>2748904366</v>
      </c>
      <c r="I402" s="391">
        <f t="shared" si="90"/>
        <v>775925000</v>
      </c>
      <c r="J402" s="391">
        <f t="shared" si="90"/>
        <v>51900000</v>
      </c>
      <c r="K402" s="391">
        <f t="shared" si="90"/>
        <v>85520811</v>
      </c>
      <c r="L402" s="391">
        <f t="shared" si="90"/>
        <v>132406352</v>
      </c>
      <c r="M402" s="391">
        <f t="shared" si="90"/>
        <v>7267322468</v>
      </c>
      <c r="N402" s="392"/>
      <c r="O402" s="392"/>
    </row>
    <row r="403" spans="1:15" s="390" customFormat="1" x14ac:dyDescent="0.25">
      <c r="A403" s="392"/>
      <c r="E403" s="391">
        <f>E175+E203</f>
        <v>28742900</v>
      </c>
      <c r="F403" s="391">
        <f t="shared" ref="F403:M403" si="91">F175+F203</f>
        <v>8309181</v>
      </c>
      <c r="G403" s="391">
        <f t="shared" si="91"/>
        <v>260392486</v>
      </c>
      <c r="H403" s="391">
        <f t="shared" si="91"/>
        <v>11165000</v>
      </c>
      <c r="I403" s="391">
        <f t="shared" si="91"/>
        <v>466943849</v>
      </c>
      <c r="J403" s="391">
        <f t="shared" si="91"/>
        <v>0</v>
      </c>
      <c r="K403" s="391">
        <f t="shared" si="91"/>
        <v>4000000</v>
      </c>
      <c r="L403" s="391">
        <f t="shared" si="91"/>
        <v>0</v>
      </c>
      <c r="M403" s="391">
        <f t="shared" si="91"/>
        <v>779553416</v>
      </c>
      <c r="N403" s="392"/>
      <c r="O403" s="392"/>
    </row>
    <row r="404" spans="1:15" s="390" customFormat="1" x14ac:dyDescent="0.25">
      <c r="A404" s="392"/>
      <c r="E404" s="391">
        <f>E204</f>
        <v>28009088</v>
      </c>
      <c r="F404" s="391">
        <f t="shared" ref="F404:M404" si="92">F204</f>
        <v>3821181</v>
      </c>
      <c r="G404" s="391">
        <f t="shared" si="92"/>
        <v>1750000</v>
      </c>
      <c r="H404" s="391">
        <f t="shared" si="92"/>
        <v>0</v>
      </c>
      <c r="I404" s="391">
        <f t="shared" si="92"/>
        <v>0</v>
      </c>
      <c r="J404" s="391">
        <f t="shared" si="92"/>
        <v>0</v>
      </c>
      <c r="K404" s="391">
        <f t="shared" si="92"/>
        <v>0</v>
      </c>
      <c r="L404" s="391">
        <f t="shared" si="92"/>
        <v>0</v>
      </c>
      <c r="M404" s="391">
        <f t="shared" si="92"/>
        <v>33580269</v>
      </c>
      <c r="N404" s="392"/>
      <c r="O404" s="392"/>
    </row>
    <row r="405" spans="1:15" s="390" customFormat="1" x14ac:dyDescent="0.25">
      <c r="A405" s="392"/>
      <c r="N405" s="392"/>
      <c r="O405" s="392"/>
    </row>
    <row r="406" spans="1:15" s="390" customFormat="1" x14ac:dyDescent="0.25">
      <c r="A406" s="392"/>
      <c r="C406" s="390" t="s">
        <v>1054</v>
      </c>
      <c r="E406" s="395">
        <f t="shared" ref="E406:M406" si="93">E387+E38</f>
        <v>3447382760</v>
      </c>
      <c r="F406" s="395">
        <f t="shared" si="93"/>
        <v>509195527</v>
      </c>
      <c r="G406" s="395">
        <f t="shared" si="93"/>
        <v>3676253050</v>
      </c>
      <c r="H406" s="395">
        <f t="shared" si="93"/>
        <v>2567990897</v>
      </c>
      <c r="I406" s="395">
        <f t="shared" si="93"/>
        <v>1247270775</v>
      </c>
      <c r="J406" s="395">
        <f t="shared" si="93"/>
        <v>51900000</v>
      </c>
      <c r="K406" s="395">
        <f t="shared" si="93"/>
        <v>302970855</v>
      </c>
      <c r="L406" s="395">
        <f t="shared" si="93"/>
        <v>132053794</v>
      </c>
      <c r="M406" s="395">
        <f t="shared" si="93"/>
        <v>11935017662</v>
      </c>
      <c r="N406" s="392"/>
      <c r="O406" s="392"/>
    </row>
    <row r="407" spans="1:15" s="390" customFormat="1" x14ac:dyDescent="0.25">
      <c r="A407" s="392"/>
      <c r="C407" s="390" t="s">
        <v>1122</v>
      </c>
      <c r="E407" s="395">
        <f>E391+E41</f>
        <v>3728668365</v>
      </c>
      <c r="F407" s="395">
        <f t="shared" ref="F407:M407" si="94">F391+F41</f>
        <v>545742506</v>
      </c>
      <c r="G407" s="395">
        <f t="shared" si="94"/>
        <v>3726615955</v>
      </c>
      <c r="H407" s="395">
        <f t="shared" si="94"/>
        <v>2760083181</v>
      </c>
      <c r="I407" s="395">
        <f t="shared" si="94"/>
        <v>1242868849</v>
      </c>
      <c r="J407" s="395">
        <f t="shared" si="94"/>
        <v>51900000</v>
      </c>
      <c r="K407" s="395">
        <f t="shared" si="94"/>
        <v>89520811</v>
      </c>
      <c r="L407" s="395">
        <f t="shared" si="94"/>
        <v>132406352</v>
      </c>
      <c r="M407" s="395">
        <f t="shared" si="94"/>
        <v>12277806019</v>
      </c>
      <c r="N407" s="392"/>
      <c r="O407" s="392"/>
    </row>
  </sheetData>
  <mergeCells count="475">
    <mergeCell ref="B239:C239"/>
    <mergeCell ref="D239:D240"/>
    <mergeCell ref="B240:C240"/>
    <mergeCell ref="B241:C241"/>
    <mergeCell ref="D241:D242"/>
    <mergeCell ref="D56:D57"/>
    <mergeCell ref="D58:D59"/>
    <mergeCell ref="B330:C330"/>
    <mergeCell ref="B342:C342"/>
    <mergeCell ref="B318:C318"/>
    <mergeCell ref="B322:C322"/>
    <mergeCell ref="B326:C326"/>
    <mergeCell ref="B277:C277"/>
    <mergeCell ref="B282:C282"/>
    <mergeCell ref="B286:C286"/>
    <mergeCell ref="B255:C255"/>
    <mergeCell ref="B268:C268"/>
    <mergeCell ref="B238:C238"/>
    <mergeCell ref="B229:C230"/>
    <mergeCell ref="D229:D230"/>
    <mergeCell ref="B231:C232"/>
    <mergeCell ref="D231:D232"/>
    <mergeCell ref="B233:C234"/>
    <mergeCell ref="D233:D234"/>
    <mergeCell ref="B235:C236"/>
    <mergeCell ref="D235:D236"/>
    <mergeCell ref="B237:C237"/>
    <mergeCell ref="D237:D238"/>
    <mergeCell ref="M208:M210"/>
    <mergeCell ref="I180:I182"/>
    <mergeCell ref="J180:J182"/>
    <mergeCell ref="K180:K182"/>
    <mergeCell ref="L180:L182"/>
    <mergeCell ref="M180:M182"/>
    <mergeCell ref="I208:I210"/>
    <mergeCell ref="J208:J210"/>
    <mergeCell ref="K208:K210"/>
    <mergeCell ref="L208:L210"/>
    <mergeCell ref="H208:H210"/>
    <mergeCell ref="E208:E210"/>
    <mergeCell ref="F208:F210"/>
    <mergeCell ref="G208:G210"/>
    <mergeCell ref="B226:D228"/>
    <mergeCell ref="B180:D182"/>
    <mergeCell ref="B197:C197"/>
    <mergeCell ref="B198:C198"/>
    <mergeCell ref="B199:C199"/>
    <mergeCell ref="B200:D200"/>
    <mergeCell ref="B66:C66"/>
    <mergeCell ref="B67:C67"/>
    <mergeCell ref="B68:C68"/>
    <mergeCell ref="D68:D69"/>
    <mergeCell ref="D70:D71"/>
    <mergeCell ref="B69:C69"/>
    <mergeCell ref="B70:C70"/>
    <mergeCell ref="B71:C71"/>
    <mergeCell ref="B72:C72"/>
    <mergeCell ref="B3:D5"/>
    <mergeCell ref="B49:D51"/>
    <mergeCell ref="E3:E5"/>
    <mergeCell ref="F3:F5"/>
    <mergeCell ref="B61:C61"/>
    <mergeCell ref="C6:C7"/>
    <mergeCell ref="C8:C9"/>
    <mergeCell ref="C14:C15"/>
    <mergeCell ref="M3:M5"/>
    <mergeCell ref="I3:I5"/>
    <mergeCell ref="J49:J51"/>
    <mergeCell ref="K49:K51"/>
    <mergeCell ref="L49:L51"/>
    <mergeCell ref="M49:M51"/>
    <mergeCell ref="K3:K5"/>
    <mergeCell ref="L3:L5"/>
    <mergeCell ref="J3:J5"/>
    <mergeCell ref="I49:I51"/>
    <mergeCell ref="G3:G5"/>
    <mergeCell ref="H3:H5"/>
    <mergeCell ref="C16:C17"/>
    <mergeCell ref="C18:C19"/>
    <mergeCell ref="B20:D20"/>
    <mergeCell ref="B21:D21"/>
    <mergeCell ref="E49:E51"/>
    <mergeCell ref="E180:E182"/>
    <mergeCell ref="F180:F182"/>
    <mergeCell ref="G180:G182"/>
    <mergeCell ref="H180:H182"/>
    <mergeCell ref="G49:G51"/>
    <mergeCell ref="H49:H51"/>
    <mergeCell ref="F49:F51"/>
    <mergeCell ref="M226:M228"/>
    <mergeCell ref="F226:F228"/>
    <mergeCell ref="G226:G228"/>
    <mergeCell ref="H226:H228"/>
    <mergeCell ref="I226:I228"/>
    <mergeCell ref="J226:J228"/>
    <mergeCell ref="E226:E228"/>
    <mergeCell ref="K226:K228"/>
    <mergeCell ref="L226:L228"/>
    <mergeCell ref="B187:C188"/>
    <mergeCell ref="B189:C190"/>
    <mergeCell ref="D187:D188"/>
    <mergeCell ref="D189:D190"/>
    <mergeCell ref="B191:C192"/>
    <mergeCell ref="D193:D194"/>
    <mergeCell ref="D195:D196"/>
    <mergeCell ref="B193:C194"/>
    <mergeCell ref="B195:C196"/>
    <mergeCell ref="B171:C171"/>
    <mergeCell ref="B172:D172"/>
    <mergeCell ref="B173:C173"/>
    <mergeCell ref="B174:C174"/>
    <mergeCell ref="B175:C175"/>
    <mergeCell ref="B176:D176"/>
    <mergeCell ref="B183:C184"/>
    <mergeCell ref="D183:D184"/>
    <mergeCell ref="B185:C186"/>
    <mergeCell ref="D185:D186"/>
    <mergeCell ref="C22:C23"/>
    <mergeCell ref="C24:C25"/>
    <mergeCell ref="C26:C27"/>
    <mergeCell ref="C28:C29"/>
    <mergeCell ref="C30:C31"/>
    <mergeCell ref="C32:C33"/>
    <mergeCell ref="C34:C35"/>
    <mergeCell ref="B36:C37"/>
    <mergeCell ref="B38:C38"/>
    <mergeCell ref="D38:D40"/>
    <mergeCell ref="B41:C41"/>
    <mergeCell ref="D41:D43"/>
    <mergeCell ref="B169:C169"/>
    <mergeCell ref="B170:C170"/>
    <mergeCell ref="B52:C53"/>
    <mergeCell ref="B54:C55"/>
    <mergeCell ref="D52:D53"/>
    <mergeCell ref="D54:D55"/>
    <mergeCell ref="B56:C57"/>
    <mergeCell ref="B58:C59"/>
    <mergeCell ref="B60:C60"/>
    <mergeCell ref="D60:D61"/>
    <mergeCell ref="B62:C62"/>
    <mergeCell ref="B63:C63"/>
    <mergeCell ref="D62:D63"/>
    <mergeCell ref="B64:C64"/>
    <mergeCell ref="B65:C65"/>
    <mergeCell ref="D64:D65"/>
    <mergeCell ref="D66:D67"/>
    <mergeCell ref="B73:C73"/>
    <mergeCell ref="D72:D74"/>
    <mergeCell ref="D75:D76"/>
    <mergeCell ref="B75:C75"/>
    <mergeCell ref="B201:C201"/>
    <mergeCell ref="B202:C202"/>
    <mergeCell ref="B203:C203"/>
    <mergeCell ref="B204:D204"/>
    <mergeCell ref="B216:C216"/>
    <mergeCell ref="B217:C217"/>
    <mergeCell ref="B218:D218"/>
    <mergeCell ref="D216:D217"/>
    <mergeCell ref="B219:C219"/>
    <mergeCell ref="D219:D220"/>
    <mergeCell ref="B220:C220"/>
    <mergeCell ref="B208:D210"/>
    <mergeCell ref="B221:D221"/>
    <mergeCell ref="B211:C213"/>
    <mergeCell ref="D211:D213"/>
    <mergeCell ref="D214:D215"/>
    <mergeCell ref="B214:C215"/>
    <mergeCell ref="B76:C76"/>
    <mergeCell ref="B77:C77"/>
    <mergeCell ref="D77:D79"/>
    <mergeCell ref="D80:D81"/>
    <mergeCell ref="B80:C80"/>
    <mergeCell ref="B81:C81"/>
    <mergeCell ref="B78:C78"/>
    <mergeCell ref="B83:C83"/>
    <mergeCell ref="B82:C82"/>
    <mergeCell ref="D82:D83"/>
    <mergeCell ref="D84:D85"/>
    <mergeCell ref="B84:C84"/>
    <mergeCell ref="B85:C85"/>
    <mergeCell ref="B86:C86"/>
    <mergeCell ref="B87:C87"/>
    <mergeCell ref="D86:D87"/>
    <mergeCell ref="D88:D89"/>
    <mergeCell ref="B88:C88"/>
    <mergeCell ref="B89:C89"/>
    <mergeCell ref="B90:C90"/>
    <mergeCell ref="D90:D91"/>
    <mergeCell ref="D92:D93"/>
    <mergeCell ref="B92:C92"/>
    <mergeCell ref="B93:C93"/>
    <mergeCell ref="B94:C95"/>
    <mergeCell ref="D94:D96"/>
    <mergeCell ref="B91:C91"/>
    <mergeCell ref="D97:D98"/>
    <mergeCell ref="B96:C96"/>
    <mergeCell ref="B98:C98"/>
    <mergeCell ref="B97:C97"/>
    <mergeCell ref="B99:C99"/>
    <mergeCell ref="D99:D101"/>
    <mergeCell ref="D102:D103"/>
    <mergeCell ref="B102:C102"/>
    <mergeCell ref="B103:C103"/>
    <mergeCell ref="B100:C100"/>
    <mergeCell ref="B104:C104"/>
    <mergeCell ref="D104:D105"/>
    <mergeCell ref="D106:D107"/>
    <mergeCell ref="B106:C106"/>
    <mergeCell ref="B107:C107"/>
    <mergeCell ref="B108:C108"/>
    <mergeCell ref="D108:D109"/>
    <mergeCell ref="B110:C110"/>
    <mergeCell ref="B111:C111"/>
    <mergeCell ref="D110:D111"/>
    <mergeCell ref="B109:C109"/>
    <mergeCell ref="B105:C105"/>
    <mergeCell ref="B112:C112"/>
    <mergeCell ref="B113:C113"/>
    <mergeCell ref="D112:D113"/>
    <mergeCell ref="D114:D115"/>
    <mergeCell ref="B114:C114"/>
    <mergeCell ref="B115:C115"/>
    <mergeCell ref="B117:C117"/>
    <mergeCell ref="B116:C116"/>
    <mergeCell ref="D116:D117"/>
    <mergeCell ref="D118:D119"/>
    <mergeCell ref="B118:C118"/>
    <mergeCell ref="B119:C119"/>
    <mergeCell ref="D120:D121"/>
    <mergeCell ref="D122:D123"/>
    <mergeCell ref="B120:C120"/>
    <mergeCell ref="B121:C121"/>
    <mergeCell ref="B122:C122"/>
    <mergeCell ref="B123:C123"/>
    <mergeCell ref="B125:C125"/>
    <mergeCell ref="B124:C124"/>
    <mergeCell ref="D124:D125"/>
    <mergeCell ref="D126:D127"/>
    <mergeCell ref="B126:C126"/>
    <mergeCell ref="B127:C127"/>
    <mergeCell ref="D128:D129"/>
    <mergeCell ref="D130:D131"/>
    <mergeCell ref="B129:C129"/>
    <mergeCell ref="B128:C128"/>
    <mergeCell ref="B130:C130"/>
    <mergeCell ref="B131:C131"/>
    <mergeCell ref="B132:C132"/>
    <mergeCell ref="D132:D133"/>
    <mergeCell ref="D134:D135"/>
    <mergeCell ref="B134:C134"/>
    <mergeCell ref="B138:D138"/>
    <mergeCell ref="B139:C139"/>
    <mergeCell ref="D140:D141"/>
    <mergeCell ref="D142:D143"/>
    <mergeCell ref="B140:C140"/>
    <mergeCell ref="B142:C142"/>
    <mergeCell ref="B143:C143"/>
    <mergeCell ref="B136:D136"/>
    <mergeCell ref="B137:C137"/>
    <mergeCell ref="B141:C141"/>
    <mergeCell ref="B135:C135"/>
    <mergeCell ref="B133:C133"/>
    <mergeCell ref="B144:C144"/>
    <mergeCell ref="B145:C145"/>
    <mergeCell ref="D144:D145"/>
    <mergeCell ref="D146:D147"/>
    <mergeCell ref="B146:C146"/>
    <mergeCell ref="B147:C147"/>
    <mergeCell ref="D148:D149"/>
    <mergeCell ref="D150:D151"/>
    <mergeCell ref="D152:D153"/>
    <mergeCell ref="B149:C149"/>
    <mergeCell ref="D154:D155"/>
    <mergeCell ref="B148:C148"/>
    <mergeCell ref="B150:C150"/>
    <mergeCell ref="B151:C151"/>
    <mergeCell ref="B152:C152"/>
    <mergeCell ref="B153:C153"/>
    <mergeCell ref="B154:C154"/>
    <mergeCell ref="B155:C155"/>
    <mergeCell ref="D159:D160"/>
    <mergeCell ref="B159:C159"/>
    <mergeCell ref="B160:C160"/>
    <mergeCell ref="B158:C158"/>
    <mergeCell ref="B156:C157"/>
    <mergeCell ref="D156:D158"/>
    <mergeCell ref="B161:C161"/>
    <mergeCell ref="B162:C162"/>
    <mergeCell ref="D161:D162"/>
    <mergeCell ref="D163:D164"/>
    <mergeCell ref="B163:C163"/>
    <mergeCell ref="B164:C164"/>
    <mergeCell ref="B165:C165"/>
    <mergeCell ref="B166:C166"/>
    <mergeCell ref="D167:D168"/>
    <mergeCell ref="D165:D166"/>
    <mergeCell ref="B167:C167"/>
    <mergeCell ref="B168:C168"/>
    <mergeCell ref="B379:C380"/>
    <mergeCell ref="D379:D380"/>
    <mergeCell ref="B381:C381"/>
    <mergeCell ref="D381:D382"/>
    <mergeCell ref="B382:C382"/>
    <mergeCell ref="B383:D383"/>
    <mergeCell ref="B384:C384"/>
    <mergeCell ref="D384:D385"/>
    <mergeCell ref="B385:C385"/>
    <mergeCell ref="B386:D386"/>
    <mergeCell ref="B354:C355"/>
    <mergeCell ref="D354:D355"/>
    <mergeCell ref="B356:C357"/>
    <mergeCell ref="D356:D357"/>
    <mergeCell ref="B358:C359"/>
    <mergeCell ref="D358:D359"/>
    <mergeCell ref="B360:C361"/>
    <mergeCell ref="D360:D361"/>
    <mergeCell ref="B362:C363"/>
    <mergeCell ref="B364:C365"/>
    <mergeCell ref="D364:D365"/>
    <mergeCell ref="B366:C367"/>
    <mergeCell ref="D366:D367"/>
    <mergeCell ref="B368:C368"/>
    <mergeCell ref="B369:C369"/>
    <mergeCell ref="B370:C370"/>
    <mergeCell ref="B371:D371"/>
    <mergeCell ref="B372:C372"/>
    <mergeCell ref="B373:C373"/>
    <mergeCell ref="B374:C374"/>
    <mergeCell ref="B375:D375"/>
    <mergeCell ref="B376:C378"/>
    <mergeCell ref="D376:D378"/>
    <mergeCell ref="B242:C242"/>
    <mergeCell ref="B243:C243"/>
    <mergeCell ref="D243:D244"/>
    <mergeCell ref="B244:C244"/>
    <mergeCell ref="B245:C245"/>
    <mergeCell ref="D245:D246"/>
    <mergeCell ref="B246:C246"/>
    <mergeCell ref="B247:C247"/>
    <mergeCell ref="D247:D248"/>
    <mergeCell ref="B248:C248"/>
    <mergeCell ref="B249:C249"/>
    <mergeCell ref="D249:D251"/>
    <mergeCell ref="B250:C250"/>
    <mergeCell ref="B252:C252"/>
    <mergeCell ref="D252:D253"/>
    <mergeCell ref="B253:C253"/>
    <mergeCell ref="B254:C254"/>
    <mergeCell ref="D254:D256"/>
    <mergeCell ref="B257:C257"/>
    <mergeCell ref="D257:D258"/>
    <mergeCell ref="B258:C258"/>
    <mergeCell ref="B259:C259"/>
    <mergeCell ref="D259:D260"/>
    <mergeCell ref="B260:C260"/>
    <mergeCell ref="B261:C261"/>
    <mergeCell ref="D261:D262"/>
    <mergeCell ref="B262:C262"/>
    <mergeCell ref="B263:C263"/>
    <mergeCell ref="D263:D264"/>
    <mergeCell ref="B264:C264"/>
    <mergeCell ref="B265:C265"/>
    <mergeCell ref="D265:D266"/>
    <mergeCell ref="B266:C266"/>
    <mergeCell ref="B267:C267"/>
    <mergeCell ref="D267:D268"/>
    <mergeCell ref="B269:C269"/>
    <mergeCell ref="D269:D270"/>
    <mergeCell ref="B270:C270"/>
    <mergeCell ref="B271:C272"/>
    <mergeCell ref="D271:D273"/>
    <mergeCell ref="B273:C273"/>
    <mergeCell ref="B274:C274"/>
    <mergeCell ref="D274:D275"/>
    <mergeCell ref="B275:C275"/>
    <mergeCell ref="B276:C276"/>
    <mergeCell ref="D276:D278"/>
    <mergeCell ref="B279:C279"/>
    <mergeCell ref="D279:D280"/>
    <mergeCell ref="B280:C280"/>
    <mergeCell ref="B281:C281"/>
    <mergeCell ref="D281:D282"/>
    <mergeCell ref="B283:C283"/>
    <mergeCell ref="D283:D284"/>
    <mergeCell ref="B284:C284"/>
    <mergeCell ref="B285:C285"/>
    <mergeCell ref="D285:D286"/>
    <mergeCell ref="B287:C287"/>
    <mergeCell ref="D287:D288"/>
    <mergeCell ref="B288:C288"/>
    <mergeCell ref="B289:C289"/>
    <mergeCell ref="D289:D290"/>
    <mergeCell ref="B290:C290"/>
    <mergeCell ref="B291:C291"/>
    <mergeCell ref="D291:D292"/>
    <mergeCell ref="B292:C292"/>
    <mergeCell ref="B293:C293"/>
    <mergeCell ref="D293:D294"/>
    <mergeCell ref="B294:C294"/>
    <mergeCell ref="B295:C295"/>
    <mergeCell ref="D295:D296"/>
    <mergeCell ref="B296:C296"/>
    <mergeCell ref="B297:C297"/>
    <mergeCell ref="D297:D298"/>
    <mergeCell ref="B298:C298"/>
    <mergeCell ref="B299:C299"/>
    <mergeCell ref="D299:D300"/>
    <mergeCell ref="B300:C300"/>
    <mergeCell ref="B301:C301"/>
    <mergeCell ref="D301:D302"/>
    <mergeCell ref="B302:C302"/>
    <mergeCell ref="B303:C303"/>
    <mergeCell ref="D303:D304"/>
    <mergeCell ref="B304:C304"/>
    <mergeCell ref="B305:C305"/>
    <mergeCell ref="D305:D306"/>
    <mergeCell ref="B306:C306"/>
    <mergeCell ref="B307:C307"/>
    <mergeCell ref="D307:D308"/>
    <mergeCell ref="B308:C308"/>
    <mergeCell ref="B309:C309"/>
    <mergeCell ref="D309:D310"/>
    <mergeCell ref="B310:C310"/>
    <mergeCell ref="B311:C311"/>
    <mergeCell ref="D311:D312"/>
    <mergeCell ref="B312:C312"/>
    <mergeCell ref="B313:D313"/>
    <mergeCell ref="B314:C314"/>
    <mergeCell ref="B315:D315"/>
    <mergeCell ref="B316:C316"/>
    <mergeCell ref="B317:C317"/>
    <mergeCell ref="D317:D318"/>
    <mergeCell ref="B319:C319"/>
    <mergeCell ref="D319:D320"/>
    <mergeCell ref="B320:C320"/>
    <mergeCell ref="B321:C321"/>
    <mergeCell ref="D321:D322"/>
    <mergeCell ref="B323:C323"/>
    <mergeCell ref="D323:D324"/>
    <mergeCell ref="B324:C324"/>
    <mergeCell ref="B325:C325"/>
    <mergeCell ref="D325:D326"/>
    <mergeCell ref="B327:C327"/>
    <mergeCell ref="D327:D328"/>
    <mergeCell ref="B328:C328"/>
    <mergeCell ref="B329:C329"/>
    <mergeCell ref="D329:D330"/>
    <mergeCell ref="B331:C331"/>
    <mergeCell ref="D331:D332"/>
    <mergeCell ref="B332:C332"/>
    <mergeCell ref="B333:C334"/>
    <mergeCell ref="D333:D335"/>
    <mergeCell ref="B335:C335"/>
    <mergeCell ref="B336:C336"/>
    <mergeCell ref="D336:D337"/>
    <mergeCell ref="B337:C337"/>
    <mergeCell ref="B338:C338"/>
    <mergeCell ref="D338:D339"/>
    <mergeCell ref="B339:C339"/>
    <mergeCell ref="B347:C347"/>
    <mergeCell ref="B348:C348"/>
    <mergeCell ref="B349:D349"/>
    <mergeCell ref="B350:C350"/>
    <mergeCell ref="B351:C351"/>
    <mergeCell ref="B352:C352"/>
    <mergeCell ref="B353:D353"/>
    <mergeCell ref="B340:C340"/>
    <mergeCell ref="D340:D341"/>
    <mergeCell ref="B341:C341"/>
    <mergeCell ref="D342:D343"/>
    <mergeCell ref="B343:C343"/>
    <mergeCell ref="B344:C344"/>
    <mergeCell ref="D344:D345"/>
    <mergeCell ref="B345:C345"/>
    <mergeCell ref="B346:C346"/>
  </mergeCells>
  <pageMargins left="0.19685039370078741" right="0.23622047244094491" top="0.47244094488188981" bottom="0.55118110236220474" header="0.51181102362204722" footer="0.51181102362204722"/>
  <pageSetup paperSize="8" scale="79" orientation="portrait" r:id="rId1"/>
  <headerFooter alignWithMargins="0"/>
  <rowBreaks count="3" manualBreakCount="3">
    <brk id="43" max="13" man="1"/>
    <brk id="177" max="16383" man="1"/>
    <brk id="284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Y141"/>
  <sheetViews>
    <sheetView topLeftCell="A64" zoomScaleNormal="100" workbookViewId="0">
      <selection activeCell="B51" sqref="B51:I53"/>
    </sheetView>
  </sheetViews>
  <sheetFormatPr defaultRowHeight="12.5" x14ac:dyDescent="0.25"/>
  <cols>
    <col min="1" max="1" width="2.81640625" customWidth="1"/>
    <col min="2" max="2" width="7.453125" style="1" customWidth="1"/>
    <col min="3" max="3" width="20.81640625" style="1" customWidth="1"/>
    <col min="4" max="4" width="11.453125" style="1" customWidth="1"/>
    <col min="5" max="5" width="17.81640625" style="1" customWidth="1"/>
    <col min="6" max="6" width="15.1796875" style="1" customWidth="1"/>
    <col min="7" max="7" width="15.54296875" style="1" customWidth="1"/>
    <col min="8" max="8" width="17.453125" style="1" customWidth="1"/>
    <col min="9" max="9" width="16.54296875" style="1" customWidth="1"/>
    <col min="11" max="11" width="17.54296875" style="392" customWidth="1"/>
    <col min="12" max="12" width="14.81640625" style="392" customWidth="1"/>
    <col min="13" max="13" width="17.54296875" style="392" bestFit="1" customWidth="1"/>
    <col min="14" max="14" width="11.1796875" style="1" bestFit="1" customWidth="1"/>
    <col min="15" max="15" width="13.1796875" style="1" customWidth="1"/>
    <col min="16" max="16" width="10" style="1" bestFit="1" customWidth="1"/>
    <col min="17" max="17" width="9.1796875" style="1"/>
    <col min="18" max="18" width="10" style="1" bestFit="1" customWidth="1"/>
    <col min="19" max="19" width="9.1796875" style="1"/>
  </cols>
  <sheetData>
    <row r="1" spans="1:25" ht="13" x14ac:dyDescent="0.3">
      <c r="A1" s="8"/>
      <c r="B1" s="2" t="s">
        <v>327</v>
      </c>
      <c r="C1" s="67"/>
      <c r="D1" s="67"/>
      <c r="E1" s="67"/>
      <c r="F1" s="67"/>
      <c r="G1" s="67"/>
      <c r="H1" s="67"/>
      <c r="I1" s="67" t="s">
        <v>709</v>
      </c>
      <c r="J1" s="8"/>
      <c r="N1" s="67"/>
      <c r="O1" s="67"/>
      <c r="P1" s="67"/>
      <c r="Q1" s="67"/>
      <c r="R1" s="67"/>
    </row>
    <row r="2" spans="1:25" ht="13.5" thickBot="1" x14ac:dyDescent="0.35">
      <c r="A2" s="8"/>
      <c r="B2" s="67"/>
      <c r="C2" s="67"/>
      <c r="D2" s="67"/>
      <c r="E2" s="67"/>
      <c r="F2" s="146" t="s">
        <v>787</v>
      </c>
      <c r="G2" s="67"/>
      <c r="H2" s="1131" t="s">
        <v>469</v>
      </c>
      <c r="I2" s="1131"/>
      <c r="J2" s="8"/>
      <c r="N2" s="67"/>
      <c r="O2" s="67"/>
      <c r="P2" s="67"/>
      <c r="Q2" s="67"/>
      <c r="R2" s="67"/>
    </row>
    <row r="3" spans="1:25" x14ac:dyDescent="0.25">
      <c r="A3" s="8"/>
      <c r="B3" s="1132" t="s">
        <v>231</v>
      </c>
      <c r="C3" s="1132"/>
      <c r="D3" s="1132"/>
      <c r="E3" s="1134" t="s">
        <v>233</v>
      </c>
      <c r="F3" s="1132" t="s">
        <v>234</v>
      </c>
      <c r="G3" s="1132" t="s">
        <v>235</v>
      </c>
      <c r="H3" s="1132" t="s">
        <v>372</v>
      </c>
      <c r="I3" s="1132" t="s">
        <v>49</v>
      </c>
      <c r="J3" s="8"/>
      <c r="N3" s="67"/>
      <c r="O3" s="67"/>
      <c r="P3" s="67"/>
      <c r="Q3" s="67"/>
      <c r="R3" s="67"/>
    </row>
    <row r="4" spans="1:25" x14ac:dyDescent="0.25">
      <c r="A4" s="8"/>
      <c r="B4" s="1133"/>
      <c r="C4" s="1133"/>
      <c r="D4" s="1133"/>
      <c r="E4" s="1135"/>
      <c r="F4" s="1133"/>
      <c r="G4" s="1133"/>
      <c r="H4" s="1133"/>
      <c r="I4" s="1133"/>
      <c r="J4" s="8"/>
      <c r="N4" s="67"/>
      <c r="O4" s="67"/>
      <c r="P4" s="67"/>
      <c r="Q4" s="67"/>
      <c r="R4" s="67"/>
      <c r="T4" s="1"/>
      <c r="U4" s="1"/>
      <c r="V4" s="1"/>
      <c r="W4" s="1"/>
      <c r="X4" s="1"/>
      <c r="Y4" s="1"/>
    </row>
    <row r="5" spans="1:25" ht="51.75" customHeight="1" thickBot="1" x14ac:dyDescent="0.3">
      <c r="A5" s="8"/>
      <c r="B5" s="1133"/>
      <c r="C5" s="1133"/>
      <c r="D5" s="1133"/>
      <c r="E5" s="1135"/>
      <c r="F5" s="1133"/>
      <c r="G5" s="1133"/>
      <c r="H5" s="1133"/>
      <c r="I5" s="1133"/>
      <c r="J5" s="8"/>
      <c r="N5" s="67"/>
      <c r="O5" s="67"/>
      <c r="P5" s="67"/>
      <c r="Q5" s="67"/>
      <c r="R5" s="67"/>
      <c r="T5" s="1"/>
      <c r="U5" s="1"/>
      <c r="V5" s="1"/>
      <c r="W5" s="1"/>
      <c r="X5" s="1"/>
      <c r="Y5" s="1"/>
    </row>
    <row r="6" spans="1:25" ht="61" customHeight="1" x14ac:dyDescent="0.25">
      <c r="A6" s="8"/>
      <c r="B6" s="1093" t="s">
        <v>574</v>
      </c>
      <c r="C6" s="1094"/>
      <c r="D6" s="1095"/>
      <c r="E6" s="286"/>
      <c r="F6" s="285"/>
      <c r="G6" s="285"/>
      <c r="H6" s="265"/>
      <c r="I6" s="285"/>
      <c r="J6" s="8"/>
      <c r="L6" s="394"/>
      <c r="N6" s="67"/>
      <c r="O6" s="67"/>
      <c r="P6" s="67"/>
      <c r="Q6" s="67"/>
      <c r="R6" s="67"/>
      <c r="T6" s="1"/>
      <c r="U6" s="1"/>
      <c r="V6" s="1"/>
      <c r="W6" s="1"/>
      <c r="X6" s="1"/>
      <c r="Y6" s="1"/>
    </row>
    <row r="7" spans="1:25" ht="14" x14ac:dyDescent="0.3">
      <c r="A7" s="8"/>
      <c r="B7" s="679" t="s">
        <v>290</v>
      </c>
      <c r="C7" s="680"/>
      <c r="D7" s="681" t="s">
        <v>79</v>
      </c>
      <c r="E7" s="676">
        <v>828192701</v>
      </c>
      <c r="F7" s="677">
        <v>260649353</v>
      </c>
      <c r="G7" s="904">
        <v>0</v>
      </c>
      <c r="H7" s="678">
        <v>0</v>
      </c>
      <c r="I7" s="677">
        <f>SUM(E7:H7)</f>
        <v>1088842054</v>
      </c>
      <c r="J7" s="8" t="s">
        <v>158</v>
      </c>
      <c r="M7" s="591"/>
      <c r="N7" s="67"/>
      <c r="O7" s="67"/>
      <c r="P7" s="67"/>
      <c r="Q7" s="67"/>
      <c r="R7" s="67"/>
      <c r="T7" s="1"/>
      <c r="U7" s="1"/>
      <c r="V7" s="1"/>
      <c r="W7" s="1"/>
      <c r="X7" s="1"/>
      <c r="Y7" s="1"/>
    </row>
    <row r="8" spans="1:25" ht="14.5" thickBot="1" x14ac:dyDescent="0.35">
      <c r="A8" s="8"/>
      <c r="B8" s="682"/>
      <c r="C8" s="683"/>
      <c r="D8" s="684" t="s">
        <v>988</v>
      </c>
      <c r="E8" s="685">
        <f>828192701+300000000+20000000</f>
        <v>1148192701</v>
      </c>
      <c r="F8" s="686">
        <f>260649353+30000000+50000000</f>
        <v>340649353</v>
      </c>
      <c r="G8" s="687"/>
      <c r="H8" s="688"/>
      <c r="I8" s="686">
        <f>SUM(E8:H8)</f>
        <v>1488842054</v>
      </c>
      <c r="J8" s="8" t="s">
        <v>158</v>
      </c>
      <c r="M8" s="591"/>
      <c r="N8" s="67"/>
      <c r="O8" s="67"/>
      <c r="P8" s="67"/>
      <c r="Q8" s="67"/>
      <c r="R8" s="67"/>
      <c r="T8" s="1"/>
      <c r="U8" s="1"/>
      <c r="V8" s="1"/>
      <c r="W8" s="1"/>
      <c r="X8" s="1"/>
      <c r="Y8" s="1"/>
    </row>
    <row r="9" spans="1:25" ht="18" customHeight="1" x14ac:dyDescent="0.3">
      <c r="A9" s="8"/>
      <c r="B9" s="1096" t="s">
        <v>483</v>
      </c>
      <c r="C9" s="1097"/>
      <c r="D9" s="1098"/>
      <c r="E9" s="222"/>
      <c r="F9" s="222"/>
      <c r="G9" s="222"/>
      <c r="H9" s="223"/>
      <c r="I9" s="222"/>
      <c r="J9" s="8"/>
      <c r="K9" s="394"/>
      <c r="N9" s="67"/>
      <c r="O9" s="67"/>
      <c r="P9" s="67"/>
      <c r="Q9" s="67"/>
      <c r="R9" s="67"/>
      <c r="T9" s="1"/>
      <c r="U9" s="1"/>
      <c r="V9" s="1"/>
      <c r="W9" s="1"/>
      <c r="X9" s="1"/>
      <c r="Y9" s="1"/>
    </row>
    <row r="10" spans="1:25" ht="14" x14ac:dyDescent="0.3">
      <c r="A10" s="8"/>
      <c r="B10" s="689" t="s">
        <v>484</v>
      </c>
      <c r="C10" s="690"/>
      <c r="D10" s="691" t="s">
        <v>79</v>
      </c>
      <c r="E10" s="221">
        <v>0</v>
      </c>
      <c r="F10" s="221">
        <v>0</v>
      </c>
      <c r="G10" s="221">
        <v>0</v>
      </c>
      <c r="H10" s="224">
        <v>23000000</v>
      </c>
      <c r="I10" s="221">
        <f>SUM(E10:H10)</f>
        <v>23000000</v>
      </c>
      <c r="J10" s="8" t="s">
        <v>157</v>
      </c>
      <c r="K10" s="394"/>
      <c r="L10" s="394"/>
      <c r="M10" s="394"/>
      <c r="N10" s="67"/>
      <c r="O10" s="67"/>
      <c r="P10" s="67"/>
      <c r="Q10" s="67"/>
      <c r="R10" s="67"/>
      <c r="T10" s="1"/>
      <c r="U10" s="1"/>
      <c r="V10" s="1"/>
      <c r="W10" s="1"/>
      <c r="X10" s="1"/>
      <c r="Y10" s="1"/>
    </row>
    <row r="11" spans="1:25" ht="14.5" thickBot="1" x14ac:dyDescent="0.35">
      <c r="A11" s="8"/>
      <c r="B11" s="692"/>
      <c r="C11" s="693"/>
      <c r="D11" s="694" t="s">
        <v>988</v>
      </c>
      <c r="E11" s="695"/>
      <c r="F11" s="695"/>
      <c r="G11" s="695"/>
      <c r="H11" s="696">
        <f>23000000-5900000</f>
        <v>17100000</v>
      </c>
      <c r="I11" s="695">
        <f>SUM(E11:H11)</f>
        <v>17100000</v>
      </c>
      <c r="J11" s="8" t="s">
        <v>157</v>
      </c>
      <c r="K11" s="394"/>
      <c r="L11" s="394"/>
      <c r="M11" s="394"/>
      <c r="N11" s="67"/>
      <c r="O11" s="67"/>
      <c r="P11" s="67"/>
      <c r="Q11" s="67"/>
      <c r="R11" s="67"/>
      <c r="T11" s="1"/>
      <c r="U11" s="1"/>
      <c r="V11" s="1"/>
      <c r="W11" s="1"/>
      <c r="X11" s="1"/>
      <c r="Y11" s="1"/>
    </row>
    <row r="12" spans="1:25" ht="29.5" customHeight="1" x14ac:dyDescent="0.3">
      <c r="A12" s="8"/>
      <c r="B12" s="1099" t="s">
        <v>756</v>
      </c>
      <c r="C12" s="1102"/>
      <c r="D12" s="1103"/>
      <c r="E12" s="222"/>
      <c r="F12" s="222"/>
      <c r="G12" s="222"/>
      <c r="H12" s="223"/>
      <c r="I12" s="222"/>
      <c r="J12" s="8"/>
      <c r="N12" s="67"/>
      <c r="O12" s="67"/>
      <c r="P12" s="67"/>
      <c r="Q12" s="67"/>
      <c r="R12" s="67"/>
      <c r="T12" s="1"/>
      <c r="U12" s="1"/>
      <c r="V12" s="1"/>
      <c r="W12" s="1"/>
      <c r="X12" s="1"/>
      <c r="Y12" s="1"/>
    </row>
    <row r="13" spans="1:25" ht="14" x14ac:dyDescent="0.3">
      <c r="A13" s="8"/>
      <c r="B13" s="370" t="s">
        <v>373</v>
      </c>
      <c r="C13" s="368"/>
      <c r="D13" s="369" t="s">
        <v>79</v>
      </c>
      <c r="E13" s="221">
        <v>56649841</v>
      </c>
      <c r="F13" s="221">
        <v>73564319</v>
      </c>
      <c r="G13" s="221">
        <v>150000000</v>
      </c>
      <c r="H13" s="224"/>
      <c r="I13" s="221">
        <f>SUM(E13:H13)</f>
        <v>280214160</v>
      </c>
      <c r="J13" s="8" t="s">
        <v>158</v>
      </c>
      <c r="L13" s="394"/>
      <c r="M13" s="394"/>
      <c r="N13" s="67"/>
      <c r="O13" s="67"/>
      <c r="P13" s="67"/>
      <c r="Q13" s="67"/>
      <c r="R13" s="67"/>
      <c r="T13" s="1"/>
      <c r="U13" s="1"/>
      <c r="V13" s="1"/>
      <c r="W13" s="1"/>
      <c r="X13" s="1"/>
      <c r="Y13" s="1"/>
    </row>
    <row r="14" spans="1:25" ht="14.5" thickBot="1" x14ac:dyDescent="0.35">
      <c r="A14" s="8"/>
      <c r="B14" s="370"/>
      <c r="C14" s="368"/>
      <c r="D14" s="369" t="s">
        <v>988</v>
      </c>
      <c r="E14" s="221">
        <f>56649841+10000000</f>
        <v>66649841</v>
      </c>
      <c r="F14" s="221">
        <f>73564319+3540000+40000000+10840470</f>
        <v>127944789</v>
      </c>
      <c r="G14" s="221">
        <v>150000000</v>
      </c>
      <c r="H14" s="224"/>
      <c r="I14" s="221">
        <f>SUM(E14:H14)</f>
        <v>344594630</v>
      </c>
      <c r="J14" s="8" t="s">
        <v>158</v>
      </c>
      <c r="L14" s="394"/>
      <c r="M14" s="394"/>
      <c r="N14" s="67"/>
      <c r="O14" s="67"/>
      <c r="P14" s="67"/>
      <c r="Q14" s="67"/>
      <c r="R14" s="67"/>
      <c r="T14" s="1"/>
      <c r="U14" s="1"/>
      <c r="V14" s="1"/>
      <c r="W14" s="1"/>
      <c r="X14" s="1"/>
      <c r="Y14" s="1"/>
    </row>
    <row r="15" spans="1:25" ht="14" x14ac:dyDescent="0.3">
      <c r="A15" s="8"/>
      <c r="B15" s="1121" t="s">
        <v>1119</v>
      </c>
      <c r="C15" s="1122"/>
      <c r="D15" s="1123"/>
      <c r="E15" s="222"/>
      <c r="F15" s="222"/>
      <c r="G15" s="222"/>
      <c r="H15" s="223"/>
      <c r="I15" s="222"/>
      <c r="J15" s="8"/>
      <c r="L15" s="394"/>
      <c r="M15" s="394"/>
      <c r="N15" s="67"/>
      <c r="O15" s="67"/>
      <c r="P15" s="67"/>
      <c r="Q15" s="67"/>
      <c r="R15" s="67"/>
      <c r="T15" s="1"/>
      <c r="U15" s="1"/>
      <c r="V15" s="1"/>
      <c r="W15" s="1"/>
      <c r="X15" s="1"/>
      <c r="Y15" s="1"/>
    </row>
    <row r="16" spans="1:25" ht="14" x14ac:dyDescent="0.3">
      <c r="A16" s="8"/>
      <c r="B16" s="370"/>
      <c r="C16" s="368"/>
      <c r="D16" s="369" t="s">
        <v>79</v>
      </c>
      <c r="E16" s="221"/>
      <c r="F16" s="221"/>
      <c r="G16" s="221"/>
      <c r="H16" s="224"/>
      <c r="I16" s="221"/>
      <c r="J16" s="8" t="s">
        <v>157</v>
      </c>
      <c r="L16" s="394"/>
      <c r="M16" s="394"/>
      <c r="N16" s="67"/>
      <c r="O16" s="67"/>
      <c r="P16" s="67"/>
      <c r="Q16" s="67"/>
      <c r="R16" s="67"/>
      <c r="T16" s="1"/>
      <c r="U16" s="1"/>
      <c r="V16" s="1"/>
      <c r="W16" s="1"/>
      <c r="X16" s="1"/>
      <c r="Y16" s="1"/>
    </row>
    <row r="17" spans="1:25" ht="14.5" thickBot="1" x14ac:dyDescent="0.35">
      <c r="A17" s="8"/>
      <c r="B17" s="370" t="s">
        <v>373</v>
      </c>
      <c r="C17" s="368"/>
      <c r="D17" s="369" t="s">
        <v>988</v>
      </c>
      <c r="E17" s="221">
        <v>850000</v>
      </c>
      <c r="F17" s="221"/>
      <c r="G17" s="221"/>
      <c r="H17" s="224"/>
      <c r="I17" s="221">
        <v>850000</v>
      </c>
      <c r="J17" s="8" t="s">
        <v>157</v>
      </c>
      <c r="L17" s="394"/>
      <c r="M17" s="394"/>
      <c r="N17" s="67"/>
      <c r="O17" s="67"/>
      <c r="P17" s="67"/>
      <c r="Q17" s="67"/>
      <c r="R17" s="67"/>
      <c r="T17" s="1"/>
      <c r="U17" s="1"/>
      <c r="V17" s="1"/>
      <c r="W17" s="1"/>
      <c r="X17" s="1"/>
      <c r="Y17" s="1"/>
    </row>
    <row r="18" spans="1:25" ht="14" x14ac:dyDescent="0.3">
      <c r="A18" s="8"/>
      <c r="B18" s="477" t="s">
        <v>805</v>
      </c>
      <c r="C18" s="475"/>
      <c r="D18" s="476"/>
      <c r="E18" s="222"/>
      <c r="F18" s="222"/>
      <c r="G18" s="222"/>
      <c r="H18" s="223"/>
      <c r="I18" s="222"/>
      <c r="J18" s="8"/>
      <c r="L18" s="394"/>
      <c r="M18" s="394"/>
      <c r="N18" s="67"/>
      <c r="O18" s="67"/>
      <c r="P18" s="67"/>
      <c r="Q18" s="67"/>
      <c r="R18" s="67"/>
      <c r="T18" s="1"/>
      <c r="U18" s="1"/>
      <c r="V18" s="1"/>
      <c r="W18" s="1"/>
      <c r="X18" s="1"/>
      <c r="Y18" s="1"/>
    </row>
    <row r="19" spans="1:25" ht="14" x14ac:dyDescent="0.3">
      <c r="A19" s="8"/>
      <c r="B19" s="370" t="s">
        <v>373</v>
      </c>
      <c r="C19" s="368"/>
      <c r="D19" s="369" t="s">
        <v>79</v>
      </c>
      <c r="E19" s="221">
        <v>683100000</v>
      </c>
      <c r="F19" s="221"/>
      <c r="G19" s="221"/>
      <c r="H19" s="224"/>
      <c r="I19" s="221">
        <f>SUM(E19:H19)</f>
        <v>683100000</v>
      </c>
      <c r="J19" s="8" t="s">
        <v>157</v>
      </c>
      <c r="L19" s="394"/>
      <c r="M19" s="394"/>
      <c r="N19" s="67"/>
      <c r="O19" s="67"/>
      <c r="P19" s="67"/>
      <c r="Q19" s="67"/>
      <c r="R19" s="67"/>
      <c r="T19" s="1"/>
      <c r="U19" s="1"/>
      <c r="V19" s="1"/>
      <c r="W19" s="1"/>
      <c r="X19" s="1"/>
      <c r="Y19" s="1"/>
    </row>
    <row r="20" spans="1:25" ht="14.5" thickBot="1" x14ac:dyDescent="0.35">
      <c r="A20" s="8"/>
      <c r="B20" s="697"/>
      <c r="C20" s="698"/>
      <c r="D20" s="699" t="s">
        <v>988</v>
      </c>
      <c r="E20" s="695">
        <f>683100000+21590000</f>
        <v>704690000</v>
      </c>
      <c r="F20" s="695"/>
      <c r="G20" s="695"/>
      <c r="H20" s="696"/>
      <c r="I20" s="695">
        <f>SUM(E20:H20)</f>
        <v>704690000</v>
      </c>
      <c r="J20" s="8" t="s">
        <v>157</v>
      </c>
      <c r="L20" s="394"/>
      <c r="M20" s="394"/>
      <c r="N20" s="67"/>
      <c r="O20" s="67"/>
      <c r="P20" s="67"/>
      <c r="Q20" s="67"/>
      <c r="R20" s="67"/>
      <c r="T20" s="1"/>
      <c r="U20" s="1"/>
      <c r="V20" s="1"/>
      <c r="W20" s="1"/>
      <c r="X20" s="1"/>
      <c r="Y20" s="1"/>
    </row>
    <row r="21" spans="1:25" ht="14" x14ac:dyDescent="0.3">
      <c r="A21" s="8"/>
      <c r="B21" s="1127" t="s">
        <v>1124</v>
      </c>
      <c r="C21" s="1128"/>
      <c r="D21" s="1129"/>
      <c r="E21" s="221"/>
      <c r="F21" s="221"/>
      <c r="G21" s="221"/>
      <c r="H21" s="224"/>
      <c r="I21" s="221"/>
      <c r="J21" s="8"/>
      <c r="L21" s="394"/>
      <c r="M21" s="394"/>
      <c r="N21" s="67"/>
      <c r="O21" s="67"/>
      <c r="P21" s="67"/>
      <c r="Q21" s="67"/>
      <c r="R21" s="67"/>
      <c r="T21" s="1"/>
      <c r="U21" s="1"/>
      <c r="V21" s="1"/>
      <c r="W21" s="1"/>
      <c r="X21" s="1"/>
      <c r="Y21" s="1"/>
    </row>
    <row r="22" spans="1:25" ht="14" x14ac:dyDescent="0.3">
      <c r="A22" s="8"/>
      <c r="B22" s="370"/>
      <c r="C22" s="368"/>
      <c r="D22" s="369" t="s">
        <v>79</v>
      </c>
      <c r="E22" s="221"/>
      <c r="F22" s="221"/>
      <c r="G22" s="221"/>
      <c r="H22" s="224"/>
      <c r="I22" s="221"/>
      <c r="J22" s="8" t="s">
        <v>157</v>
      </c>
      <c r="L22" s="394"/>
      <c r="M22" s="394"/>
      <c r="N22" s="67"/>
      <c r="O22" s="67"/>
      <c r="P22" s="67"/>
      <c r="Q22" s="67"/>
      <c r="R22" s="67"/>
      <c r="T22" s="1"/>
      <c r="U22" s="1"/>
      <c r="V22" s="1"/>
      <c r="W22" s="1"/>
      <c r="X22" s="1"/>
      <c r="Y22" s="1"/>
    </row>
    <row r="23" spans="1:25" ht="14.5" thickBot="1" x14ac:dyDescent="0.35">
      <c r="A23" s="8"/>
      <c r="B23" s="697" t="s">
        <v>373</v>
      </c>
      <c r="C23" s="698"/>
      <c r="D23" s="699" t="s">
        <v>988</v>
      </c>
      <c r="E23" s="695">
        <v>61277500</v>
      </c>
      <c r="F23" s="695"/>
      <c r="G23" s="695"/>
      <c r="H23" s="696"/>
      <c r="I23" s="695">
        <f>SUM(E23:H23)</f>
        <v>61277500</v>
      </c>
      <c r="J23" s="8" t="s">
        <v>157</v>
      </c>
      <c r="L23" s="394"/>
      <c r="M23" s="394"/>
      <c r="N23" s="67"/>
      <c r="O23" s="67"/>
      <c r="P23" s="67"/>
      <c r="Q23" s="67"/>
      <c r="R23" s="67"/>
      <c r="T23" s="1"/>
      <c r="U23" s="1"/>
      <c r="V23" s="1"/>
      <c r="W23" s="1"/>
      <c r="X23" s="1"/>
      <c r="Y23" s="1"/>
    </row>
    <row r="24" spans="1:25" ht="14" x14ac:dyDescent="0.3">
      <c r="A24" s="8"/>
      <c r="B24" s="478" t="s">
        <v>806</v>
      </c>
      <c r="C24" s="368"/>
      <c r="D24" s="369"/>
      <c r="E24" s="221"/>
      <c r="F24" s="221"/>
      <c r="G24" s="221"/>
      <c r="H24" s="224"/>
      <c r="I24" s="221"/>
      <c r="J24" s="8"/>
      <c r="L24" s="394"/>
      <c r="M24" s="394"/>
      <c r="N24" s="67"/>
      <c r="O24" s="67"/>
      <c r="P24" s="67"/>
      <c r="Q24" s="67"/>
      <c r="R24" s="67"/>
      <c r="T24" s="1"/>
      <c r="U24" s="1"/>
      <c r="V24" s="1"/>
      <c r="W24" s="1"/>
      <c r="X24" s="1"/>
      <c r="Y24" s="1"/>
    </row>
    <row r="25" spans="1:25" ht="14" x14ac:dyDescent="0.3">
      <c r="A25" s="8"/>
      <c r="B25" s="370" t="s">
        <v>373</v>
      </c>
      <c r="C25" s="368"/>
      <c r="D25" s="369" t="s">
        <v>79</v>
      </c>
      <c r="E25" s="221">
        <v>10000000</v>
      </c>
      <c r="F25" s="221">
        <v>90000000</v>
      </c>
      <c r="G25" s="221"/>
      <c r="H25" s="224"/>
      <c r="I25" s="221">
        <f>SUM(E25:H25)</f>
        <v>100000000</v>
      </c>
      <c r="J25" s="8" t="s">
        <v>158</v>
      </c>
      <c r="K25" s="394">
        <f>SUM(E25+E19+E13)</f>
        <v>749749841</v>
      </c>
      <c r="L25" s="394">
        <f t="shared" ref="L25:M25" si="0">SUM(F25+F19+F13)</f>
        <v>163564319</v>
      </c>
      <c r="M25" s="394">
        <f t="shared" si="0"/>
        <v>150000000</v>
      </c>
      <c r="N25" s="67"/>
      <c r="O25" s="67"/>
      <c r="P25" s="67"/>
      <c r="Q25" s="67"/>
      <c r="R25" s="67"/>
      <c r="T25" s="1"/>
      <c r="U25" s="1"/>
      <c r="V25" s="1"/>
      <c r="W25" s="1"/>
      <c r="X25" s="1"/>
      <c r="Y25" s="1"/>
    </row>
    <row r="26" spans="1:25" ht="14.5" thickBot="1" x14ac:dyDescent="0.35">
      <c r="A26" s="8"/>
      <c r="B26" s="370"/>
      <c r="C26" s="368"/>
      <c r="D26" s="369" t="s">
        <v>988</v>
      </c>
      <c r="E26" s="221">
        <f>10000000+21897638</f>
        <v>31897638</v>
      </c>
      <c r="F26" s="221">
        <f>90000000+81102362</f>
        <v>171102362</v>
      </c>
      <c r="G26" s="221"/>
      <c r="H26" s="224"/>
      <c r="I26" s="221">
        <f>SUM(E26:H26)</f>
        <v>203000000</v>
      </c>
      <c r="J26" s="8" t="s">
        <v>158</v>
      </c>
      <c r="K26" s="394"/>
      <c r="L26" s="394"/>
      <c r="M26" s="394"/>
      <c r="N26" s="67"/>
      <c r="O26" s="67"/>
      <c r="P26" s="67"/>
      <c r="Q26" s="67"/>
      <c r="R26" s="67"/>
      <c r="T26" s="1"/>
      <c r="U26" s="1"/>
      <c r="V26" s="1"/>
      <c r="W26" s="1"/>
      <c r="X26" s="1"/>
      <c r="Y26" s="1"/>
    </row>
    <row r="27" spans="1:25" ht="39" customHeight="1" x14ac:dyDescent="0.3">
      <c r="A27" s="8"/>
      <c r="B27" s="1104" t="s">
        <v>757</v>
      </c>
      <c r="C27" s="1105"/>
      <c r="D27" s="1106"/>
      <c r="E27" s="222"/>
      <c r="F27" s="222"/>
      <c r="G27" s="222"/>
      <c r="H27" s="223"/>
      <c r="I27" s="222"/>
      <c r="J27" s="8"/>
      <c r="N27" s="67"/>
      <c r="O27" s="67"/>
      <c r="P27" s="67"/>
      <c r="Q27" s="67"/>
      <c r="R27" s="67"/>
      <c r="T27" s="1"/>
      <c r="U27" s="1"/>
      <c r="V27" s="1"/>
      <c r="W27" s="1"/>
      <c r="X27" s="1"/>
      <c r="Y27" s="1"/>
    </row>
    <row r="28" spans="1:25" ht="14" x14ac:dyDescent="0.3">
      <c r="A28" s="8"/>
      <c r="B28" s="371" t="s">
        <v>374</v>
      </c>
      <c r="C28" s="66"/>
      <c r="D28" s="700" t="s">
        <v>79</v>
      </c>
      <c r="E28" s="221">
        <v>49624397</v>
      </c>
      <c r="F28" s="221"/>
      <c r="G28" s="221"/>
      <c r="H28" s="224"/>
      <c r="I28" s="221">
        <f>SUM(E28:H28)</f>
        <v>49624397</v>
      </c>
      <c r="J28" s="8" t="s">
        <v>158</v>
      </c>
      <c r="K28" s="394"/>
      <c r="N28" s="67"/>
      <c r="O28" s="67"/>
      <c r="P28" s="67"/>
      <c r="Q28" s="67"/>
      <c r="R28" s="67"/>
      <c r="T28" s="1"/>
      <c r="U28" s="1"/>
      <c r="V28" s="1"/>
      <c r="W28" s="1"/>
      <c r="X28" s="1"/>
      <c r="Y28" s="1"/>
    </row>
    <row r="29" spans="1:25" ht="14.5" thickBot="1" x14ac:dyDescent="0.35">
      <c r="A29" s="8"/>
      <c r="B29" s="371"/>
      <c r="C29" s="66"/>
      <c r="D29" s="700" t="s">
        <v>988</v>
      </c>
      <c r="E29" s="221">
        <f>49624397+937992+15000000</f>
        <v>65562389</v>
      </c>
      <c r="F29" s="221"/>
      <c r="G29" s="221"/>
      <c r="H29" s="246"/>
      <c r="I29" s="221">
        <f>SUM(E29:H29)</f>
        <v>65562389</v>
      </c>
      <c r="J29" s="8" t="s">
        <v>158</v>
      </c>
      <c r="K29" s="394"/>
      <c r="N29" s="67"/>
      <c r="O29" s="67"/>
      <c r="P29" s="67"/>
      <c r="Q29" s="67"/>
      <c r="R29" s="67"/>
      <c r="T29" s="1"/>
      <c r="U29" s="1"/>
      <c r="V29" s="1"/>
      <c r="W29" s="1"/>
      <c r="X29" s="1"/>
      <c r="Y29" s="1"/>
    </row>
    <row r="30" spans="1:25" ht="28.5" customHeight="1" x14ac:dyDescent="0.3">
      <c r="A30" s="8"/>
      <c r="B30" s="1099" t="s">
        <v>485</v>
      </c>
      <c r="C30" s="1100"/>
      <c r="D30" s="1101"/>
      <c r="E30" s="222"/>
      <c r="F30" s="222"/>
      <c r="G30" s="222"/>
      <c r="H30" s="245"/>
      <c r="I30" s="222"/>
      <c r="J30" s="424" t="s">
        <v>710</v>
      </c>
      <c r="K30" s="394">
        <f>I28+I31</f>
        <v>145306197</v>
      </c>
      <c r="N30" s="67"/>
      <c r="O30" s="67"/>
      <c r="P30" s="67"/>
      <c r="Q30" s="67"/>
      <c r="R30" s="67"/>
      <c r="T30" s="1"/>
      <c r="U30" s="1"/>
      <c r="V30" s="1"/>
      <c r="W30" s="1"/>
      <c r="X30" s="1"/>
      <c r="Y30" s="1"/>
    </row>
    <row r="31" spans="1:25" ht="14" x14ac:dyDescent="0.3">
      <c r="A31" s="8"/>
      <c r="B31" s="371" t="s">
        <v>374</v>
      </c>
      <c r="C31" s="66"/>
      <c r="D31" s="700" t="s">
        <v>79</v>
      </c>
      <c r="E31" s="221"/>
      <c r="F31" s="221">
        <v>95681800</v>
      </c>
      <c r="G31" s="221"/>
      <c r="H31" s="246"/>
      <c r="I31" s="221">
        <f>SUM(E31:H31)</f>
        <v>95681800</v>
      </c>
      <c r="J31" s="8" t="s">
        <v>158</v>
      </c>
      <c r="K31" s="394">
        <f>I28+I31</f>
        <v>145306197</v>
      </c>
      <c r="L31" s="394"/>
      <c r="M31" s="394"/>
      <c r="N31" s="288"/>
      <c r="O31" s="288"/>
      <c r="P31" s="67"/>
      <c r="Q31" s="67"/>
      <c r="R31" s="67"/>
      <c r="T31" s="1"/>
      <c r="U31" s="1"/>
      <c r="V31" s="1"/>
      <c r="W31" s="1"/>
      <c r="X31" s="1"/>
      <c r="Y31" s="1"/>
    </row>
    <row r="32" spans="1:25" ht="14.5" thickBot="1" x14ac:dyDescent="0.35">
      <c r="A32" s="8"/>
      <c r="B32" s="701"/>
      <c r="C32" s="702"/>
      <c r="D32" s="703" t="s">
        <v>988</v>
      </c>
      <c r="E32" s="221"/>
      <c r="F32" s="221">
        <f>95681800-2787650-9597390-6350000-937992-15000000-30000000</f>
        <v>31008768</v>
      </c>
      <c r="G32" s="221"/>
      <c r="H32" s="246"/>
      <c r="I32" s="221">
        <f>SUM(E32:H32)</f>
        <v>31008768</v>
      </c>
      <c r="J32" s="8" t="s">
        <v>158</v>
      </c>
      <c r="K32" s="394"/>
      <c r="L32" s="394"/>
      <c r="M32" s="394"/>
      <c r="N32" s="288"/>
      <c r="O32" s="288"/>
      <c r="P32" s="67"/>
      <c r="Q32" s="67"/>
      <c r="R32" s="67"/>
      <c r="T32" s="1"/>
      <c r="U32" s="1"/>
      <c r="V32" s="1"/>
      <c r="W32" s="1"/>
      <c r="X32" s="1"/>
      <c r="Y32" s="1"/>
    </row>
    <row r="33" spans="1:25" ht="20.5" customHeight="1" x14ac:dyDescent="0.3">
      <c r="A33" s="8"/>
      <c r="B33" s="1099" t="s">
        <v>486</v>
      </c>
      <c r="C33" s="1100"/>
      <c r="D33" s="1101"/>
      <c r="E33" s="222"/>
      <c r="F33" s="222"/>
      <c r="G33" s="222"/>
      <c r="H33" s="223"/>
      <c r="I33" s="222"/>
      <c r="J33" s="8"/>
      <c r="L33" s="394"/>
      <c r="N33" s="67"/>
      <c r="O33" s="67"/>
      <c r="P33" s="67"/>
      <c r="Q33" s="67"/>
      <c r="R33" s="67"/>
      <c r="T33" s="1"/>
      <c r="U33" s="1"/>
      <c r="V33" s="1"/>
      <c r="W33" s="1"/>
      <c r="X33" s="1"/>
      <c r="Y33" s="1"/>
    </row>
    <row r="34" spans="1:25" ht="14" x14ac:dyDescent="0.3">
      <c r="A34" s="8"/>
      <c r="B34" s="371" t="s">
        <v>375</v>
      </c>
      <c r="C34" s="39"/>
      <c r="D34" s="700" t="s">
        <v>79</v>
      </c>
      <c r="E34" s="221">
        <v>0</v>
      </c>
      <c r="F34" s="221"/>
      <c r="G34" s="221"/>
      <c r="H34" s="224"/>
      <c r="I34" s="221">
        <f>SUM(E34:H34)</f>
        <v>0</v>
      </c>
      <c r="J34" s="8" t="s">
        <v>158</v>
      </c>
      <c r="N34" s="67"/>
      <c r="O34" s="67"/>
      <c r="P34" s="67"/>
      <c r="Q34" s="67"/>
      <c r="R34" s="67"/>
      <c r="T34" s="1"/>
      <c r="U34" s="1"/>
      <c r="V34" s="1"/>
      <c r="W34" s="1"/>
      <c r="X34" s="1"/>
      <c r="Y34" s="1"/>
    </row>
    <row r="35" spans="1:25" ht="14.5" thickBot="1" x14ac:dyDescent="0.35">
      <c r="A35" s="8"/>
      <c r="B35" s="701"/>
      <c r="C35" s="704"/>
      <c r="D35" s="703" t="s">
        <v>988</v>
      </c>
      <c r="E35" s="695">
        <v>0</v>
      </c>
      <c r="F35" s="695"/>
      <c r="G35" s="695"/>
      <c r="H35" s="696"/>
      <c r="I35" s="695">
        <v>0</v>
      </c>
      <c r="J35" s="8" t="s">
        <v>158</v>
      </c>
      <c r="N35" s="67"/>
      <c r="O35" s="67"/>
      <c r="P35" s="67"/>
      <c r="Q35" s="67"/>
      <c r="R35" s="67"/>
      <c r="T35" s="1"/>
      <c r="U35" s="1"/>
      <c r="V35" s="1"/>
      <c r="W35" s="1"/>
      <c r="X35" s="1"/>
      <c r="Y35" s="1"/>
    </row>
    <row r="36" spans="1:25" ht="38.25" customHeight="1" x14ac:dyDescent="0.3">
      <c r="A36" s="8"/>
      <c r="B36" s="1099" t="s">
        <v>752</v>
      </c>
      <c r="C36" s="1102"/>
      <c r="D36" s="1103"/>
      <c r="E36" s="222"/>
      <c r="F36" s="222"/>
      <c r="G36" s="222"/>
      <c r="H36" s="223"/>
      <c r="I36" s="222"/>
      <c r="J36" s="8"/>
      <c r="N36" s="67"/>
      <c r="O36" s="67"/>
      <c r="P36" s="67"/>
      <c r="Q36" s="67"/>
      <c r="R36" s="67"/>
      <c r="T36" s="1"/>
      <c r="U36" s="1"/>
      <c r="V36" s="1"/>
      <c r="W36" s="1"/>
      <c r="X36" s="1"/>
      <c r="Y36" s="1"/>
    </row>
    <row r="37" spans="1:25" ht="14" x14ac:dyDescent="0.3">
      <c r="A37" s="8"/>
      <c r="B37" s="371" t="s">
        <v>477</v>
      </c>
      <c r="C37" s="39"/>
      <c r="D37" s="700" t="s">
        <v>79</v>
      </c>
      <c r="E37" s="221">
        <v>0</v>
      </c>
      <c r="F37" s="221"/>
      <c r="G37" s="221"/>
      <c r="H37" s="224"/>
      <c r="I37" s="221">
        <f>SUM(E37:H37)</f>
        <v>0</v>
      </c>
      <c r="J37" s="8" t="s">
        <v>157</v>
      </c>
      <c r="L37" s="394"/>
      <c r="N37" s="67"/>
      <c r="O37" s="67"/>
      <c r="P37" s="67"/>
      <c r="Q37" s="67"/>
      <c r="R37" s="67"/>
      <c r="T37" s="1"/>
      <c r="U37" s="1"/>
      <c r="V37" s="1"/>
      <c r="W37" s="1"/>
      <c r="X37" s="1"/>
      <c r="Y37" s="1"/>
    </row>
    <row r="38" spans="1:25" ht="14.5" thickBot="1" x14ac:dyDescent="0.35">
      <c r="A38" s="8"/>
      <c r="B38" s="701"/>
      <c r="C38" s="704"/>
      <c r="D38" s="703" t="s">
        <v>988</v>
      </c>
      <c r="E38" s="695">
        <v>0</v>
      </c>
      <c r="F38" s="695"/>
      <c r="G38" s="695"/>
      <c r="H38" s="696"/>
      <c r="I38" s="695">
        <v>0</v>
      </c>
      <c r="J38" s="8" t="s">
        <v>157</v>
      </c>
      <c r="L38" s="394"/>
      <c r="N38" s="67"/>
      <c r="O38" s="67"/>
      <c r="P38" s="67"/>
      <c r="Q38" s="67"/>
      <c r="R38" s="67"/>
      <c r="T38" s="1"/>
      <c r="U38" s="1"/>
      <c r="V38" s="1"/>
      <c r="W38" s="1"/>
      <c r="X38" s="1"/>
      <c r="Y38" s="1"/>
    </row>
    <row r="39" spans="1:25" ht="14" x14ac:dyDescent="0.3">
      <c r="A39" s="8"/>
      <c r="B39" s="1099" t="s">
        <v>753</v>
      </c>
      <c r="C39" s="1102"/>
      <c r="D39" s="1103"/>
      <c r="E39" s="222"/>
      <c r="F39" s="222"/>
      <c r="G39" s="222"/>
      <c r="H39" s="223"/>
      <c r="I39" s="222"/>
      <c r="J39" s="8"/>
      <c r="N39" s="67"/>
      <c r="O39" s="67"/>
      <c r="P39" s="67"/>
      <c r="Q39" s="67"/>
      <c r="R39" s="67"/>
      <c r="T39" s="1"/>
      <c r="U39" s="1"/>
      <c r="V39" s="1"/>
      <c r="W39" s="1"/>
      <c r="X39" s="1"/>
      <c r="Y39" s="1"/>
    </row>
    <row r="40" spans="1:25" ht="14" x14ac:dyDescent="0.3">
      <c r="A40" s="8"/>
      <c r="B40" s="371" t="s">
        <v>477</v>
      </c>
      <c r="C40" s="39"/>
      <c r="D40" s="700" t="s">
        <v>79</v>
      </c>
      <c r="E40" s="221">
        <v>41500000</v>
      </c>
      <c r="F40" s="221"/>
      <c r="G40" s="221"/>
      <c r="H40" s="224"/>
      <c r="I40" s="221">
        <f>SUM(E40:H40)</f>
        <v>41500000</v>
      </c>
      <c r="J40" s="8" t="s">
        <v>157</v>
      </c>
      <c r="K40" s="394">
        <f>I40+I43+I46+I49+I52+I55+I58+I61</f>
        <v>1834132864</v>
      </c>
      <c r="L40" s="394"/>
      <c r="N40" s="67"/>
      <c r="O40" s="67"/>
      <c r="P40" s="67"/>
      <c r="Q40" s="67"/>
      <c r="R40" s="67"/>
      <c r="T40" s="1"/>
      <c r="U40" s="1"/>
      <c r="V40" s="1"/>
      <c r="W40" s="1"/>
      <c r="X40" s="1"/>
      <c r="Y40" s="1"/>
    </row>
    <row r="41" spans="1:25" ht="14.5" thickBot="1" x14ac:dyDescent="0.35">
      <c r="A41" s="8"/>
      <c r="B41" s="701"/>
      <c r="C41" s="704"/>
      <c r="D41" s="703" t="s">
        <v>988</v>
      </c>
      <c r="E41" s="695">
        <v>41500000</v>
      </c>
      <c r="F41" s="695"/>
      <c r="G41" s="695"/>
      <c r="H41" s="696"/>
      <c r="I41" s="695">
        <f>SUM(E41:H41)</f>
        <v>41500000</v>
      </c>
      <c r="J41" s="8" t="s">
        <v>157</v>
      </c>
      <c r="K41" s="394"/>
      <c r="L41" s="394"/>
      <c r="N41" s="67"/>
      <c r="O41" s="67"/>
      <c r="P41" s="67"/>
      <c r="Q41" s="67"/>
      <c r="R41" s="67"/>
      <c r="T41" s="1"/>
      <c r="U41" s="1"/>
      <c r="V41" s="1"/>
      <c r="W41" s="1"/>
      <c r="X41" s="1"/>
      <c r="Y41" s="1"/>
    </row>
    <row r="42" spans="1:25" ht="14" x14ac:dyDescent="0.3">
      <c r="A42" s="8"/>
      <c r="B42" s="1115" t="s">
        <v>807</v>
      </c>
      <c r="C42" s="1116"/>
      <c r="D42" s="1117"/>
      <c r="E42" s="221"/>
      <c r="F42" s="221"/>
      <c r="G42" s="221"/>
      <c r="H42" s="224"/>
      <c r="I42" s="221"/>
      <c r="J42" s="8"/>
      <c r="L42" s="394"/>
      <c r="N42" s="67"/>
      <c r="O42" s="67"/>
      <c r="P42" s="67"/>
      <c r="Q42" s="67"/>
      <c r="R42" s="67"/>
      <c r="T42" s="1"/>
      <c r="U42" s="1"/>
      <c r="V42" s="1"/>
      <c r="W42" s="1"/>
      <c r="X42" s="1"/>
      <c r="Y42" s="1"/>
    </row>
    <row r="43" spans="1:25" ht="14" x14ac:dyDescent="0.3">
      <c r="A43" s="8"/>
      <c r="B43" s="371" t="s">
        <v>477</v>
      </c>
      <c r="C43" s="39"/>
      <c r="D43" s="700" t="s">
        <v>79</v>
      </c>
      <c r="E43" s="221">
        <v>100000000</v>
      </c>
      <c r="F43" s="221"/>
      <c r="G43" s="221"/>
      <c r="H43" s="224"/>
      <c r="I43" s="221">
        <f>SUM(E43:H43)</f>
        <v>100000000</v>
      </c>
      <c r="J43" s="8" t="s">
        <v>157</v>
      </c>
      <c r="L43" s="394"/>
      <c r="N43" s="67"/>
      <c r="O43" s="67"/>
      <c r="P43" s="67"/>
      <c r="Q43" s="67"/>
      <c r="R43" s="67"/>
      <c r="T43" s="1"/>
      <c r="U43" s="1"/>
      <c r="V43" s="1"/>
      <c r="W43" s="1"/>
      <c r="X43" s="1"/>
      <c r="Y43" s="1"/>
    </row>
    <row r="44" spans="1:25" ht="14.5" thickBot="1" x14ac:dyDescent="0.35">
      <c r="A44" s="8"/>
      <c r="B44" s="701"/>
      <c r="C44" s="704"/>
      <c r="D44" s="703" t="s">
        <v>988</v>
      </c>
      <c r="E44" s="695">
        <v>100000000</v>
      </c>
      <c r="F44" s="695"/>
      <c r="G44" s="695"/>
      <c r="H44" s="696"/>
      <c r="I44" s="695">
        <f>SUM(E44:H44)</f>
        <v>100000000</v>
      </c>
      <c r="J44" s="8" t="s">
        <v>157</v>
      </c>
      <c r="L44" s="394"/>
      <c r="N44" s="67"/>
      <c r="O44" s="67"/>
      <c r="P44" s="67"/>
      <c r="Q44" s="67"/>
      <c r="R44" s="67"/>
      <c r="T44" s="1"/>
      <c r="U44" s="1"/>
      <c r="V44" s="1"/>
      <c r="W44" s="1"/>
      <c r="X44" s="1"/>
      <c r="Y44" s="1"/>
    </row>
    <row r="45" spans="1:25" ht="14" x14ac:dyDescent="0.3">
      <c r="A45" s="8"/>
      <c r="B45" s="481" t="str">
        <f>'[1]Projekt (2)'!$A$166</f>
        <v xml:space="preserve">FVS, Gyáév-csarnok </v>
      </c>
      <c r="C45" s="479"/>
      <c r="D45" s="480"/>
      <c r="E45" s="222"/>
      <c r="F45" s="222"/>
      <c r="G45" s="222"/>
      <c r="H45" s="223"/>
      <c r="I45" s="222"/>
      <c r="J45" s="8"/>
      <c r="L45" s="394"/>
      <c r="N45" s="67"/>
      <c r="O45" s="67"/>
      <c r="P45" s="67"/>
      <c r="Q45" s="67"/>
      <c r="R45" s="67"/>
      <c r="T45" s="1"/>
      <c r="U45" s="1"/>
      <c r="V45" s="1"/>
      <c r="W45" s="1"/>
      <c r="X45" s="1"/>
      <c r="Y45" s="1"/>
    </row>
    <row r="46" spans="1:25" ht="14" x14ac:dyDescent="0.3">
      <c r="A46" s="8"/>
      <c r="B46" s="371" t="s">
        <v>477</v>
      </c>
      <c r="C46" s="39"/>
      <c r="D46" s="700" t="s">
        <v>79</v>
      </c>
      <c r="E46" s="221">
        <v>350000000</v>
      </c>
      <c r="F46" s="221"/>
      <c r="G46" s="221"/>
      <c r="H46" s="224"/>
      <c r="I46" s="221">
        <f>SUM(E46:H46)</f>
        <v>350000000</v>
      </c>
      <c r="J46" s="8" t="s">
        <v>157</v>
      </c>
      <c r="L46" s="394"/>
      <c r="N46" s="67"/>
      <c r="O46" s="67"/>
      <c r="P46" s="67"/>
      <c r="Q46" s="67"/>
      <c r="R46" s="67"/>
      <c r="T46" s="1"/>
      <c r="U46" s="1"/>
      <c r="V46" s="1"/>
      <c r="W46" s="1"/>
      <c r="X46" s="1"/>
      <c r="Y46" s="1"/>
    </row>
    <row r="47" spans="1:25" ht="14.5" thickBot="1" x14ac:dyDescent="0.35">
      <c r="A47" s="8"/>
      <c r="B47" s="701"/>
      <c r="C47" s="704"/>
      <c r="D47" s="703" t="s">
        <v>988</v>
      </c>
      <c r="E47" s="695">
        <v>350000000</v>
      </c>
      <c r="F47" s="695"/>
      <c r="G47" s="695"/>
      <c r="H47" s="696"/>
      <c r="I47" s="695">
        <f>SUM(E47:H47)</f>
        <v>350000000</v>
      </c>
      <c r="J47" s="8" t="s">
        <v>157</v>
      </c>
      <c r="L47" s="394"/>
      <c r="N47" s="67"/>
      <c r="O47" s="67"/>
      <c r="P47" s="67"/>
      <c r="Q47" s="67"/>
      <c r="R47" s="67"/>
      <c r="T47" s="1"/>
      <c r="U47" s="1"/>
      <c r="V47" s="1"/>
      <c r="W47" s="1"/>
      <c r="X47" s="1"/>
      <c r="Y47" s="1"/>
    </row>
    <row r="48" spans="1:25" ht="14" x14ac:dyDescent="0.3">
      <c r="A48" s="8"/>
      <c r="B48" s="482" t="str">
        <f>'[1]Projekt (2)'!$A$169</f>
        <v>FVS, Bolyai Iskola</v>
      </c>
      <c r="C48" s="39"/>
      <c r="D48" s="65"/>
      <c r="E48" s="221"/>
      <c r="F48" s="221"/>
      <c r="G48" s="221"/>
      <c r="H48" s="224"/>
      <c r="I48" s="221"/>
      <c r="J48" s="8"/>
      <c r="L48" s="394"/>
      <c r="N48" s="67"/>
      <c r="O48" s="67"/>
      <c r="P48" s="67"/>
      <c r="Q48" s="67"/>
      <c r="R48" s="67"/>
      <c r="T48" s="1"/>
      <c r="U48" s="1"/>
      <c r="V48" s="1"/>
      <c r="W48" s="1"/>
      <c r="X48" s="1"/>
      <c r="Y48" s="1"/>
    </row>
    <row r="49" spans="1:25" ht="14" x14ac:dyDescent="0.3">
      <c r="A49" s="8"/>
      <c r="B49" s="371" t="s">
        <v>477</v>
      </c>
      <c r="C49" s="39"/>
      <c r="D49" s="700" t="s">
        <v>79</v>
      </c>
      <c r="E49" s="221">
        <v>320000000</v>
      </c>
      <c r="F49" s="221"/>
      <c r="G49" s="221"/>
      <c r="H49" s="224"/>
      <c r="I49" s="221">
        <f>SUM(E49:H49)</f>
        <v>320000000</v>
      </c>
      <c r="J49" s="8" t="s">
        <v>157</v>
      </c>
      <c r="L49" s="394"/>
      <c r="N49" s="67"/>
      <c r="O49" s="67"/>
      <c r="P49" s="67"/>
      <c r="Q49" s="67"/>
      <c r="R49" s="67"/>
      <c r="T49" s="1"/>
      <c r="U49" s="1"/>
      <c r="V49" s="1"/>
      <c r="W49" s="1"/>
      <c r="X49" s="1"/>
      <c r="Y49" s="1"/>
    </row>
    <row r="50" spans="1:25" ht="14.5" thickBot="1" x14ac:dyDescent="0.35">
      <c r="A50" s="8"/>
      <c r="B50" s="371"/>
      <c r="C50" s="39"/>
      <c r="D50" s="703" t="s">
        <v>988</v>
      </c>
      <c r="E50" s="221">
        <v>320000000</v>
      </c>
      <c r="F50" s="221"/>
      <c r="G50" s="221"/>
      <c r="H50" s="224"/>
      <c r="I50" s="221">
        <f>SUM(E50:H50)</f>
        <v>320000000</v>
      </c>
      <c r="J50" s="8" t="s">
        <v>157</v>
      </c>
      <c r="L50" s="394"/>
      <c r="N50" s="67"/>
      <c r="O50" s="67"/>
      <c r="P50" s="67"/>
      <c r="Q50" s="67"/>
      <c r="R50" s="67"/>
      <c r="T50" s="1"/>
      <c r="U50" s="1"/>
      <c r="V50" s="1"/>
      <c r="W50" s="1"/>
      <c r="X50" s="1"/>
      <c r="Y50" s="1"/>
    </row>
    <row r="51" spans="1:25" ht="14" x14ac:dyDescent="0.3">
      <c r="A51" s="8"/>
      <c r="B51" s="1099" t="s">
        <v>808</v>
      </c>
      <c r="C51" s="1102"/>
      <c r="D51" s="1103"/>
      <c r="E51" s="222"/>
      <c r="F51" s="222"/>
      <c r="G51" s="222"/>
      <c r="H51" s="223"/>
      <c r="I51" s="222"/>
      <c r="J51" s="8"/>
      <c r="N51" s="67"/>
      <c r="O51" s="67"/>
      <c r="P51" s="67"/>
      <c r="Q51" s="67"/>
      <c r="R51" s="67"/>
      <c r="T51" s="1"/>
      <c r="U51" s="1"/>
      <c r="V51" s="1"/>
      <c r="W51" s="1"/>
      <c r="X51" s="1"/>
      <c r="Y51" s="1"/>
    </row>
    <row r="52" spans="1:25" ht="14" x14ac:dyDescent="0.3">
      <c r="A52" s="8"/>
      <c r="B52" s="707" t="s">
        <v>477</v>
      </c>
      <c r="C52" s="708"/>
      <c r="D52" s="700" t="s">
        <v>79</v>
      </c>
      <c r="E52" s="221">
        <v>150000000</v>
      </c>
      <c r="F52" s="221"/>
      <c r="G52" s="221"/>
      <c r="H52" s="224"/>
      <c r="I52" s="221">
        <f>SUM(E52:H52)</f>
        <v>150000000</v>
      </c>
      <c r="J52" s="8" t="s">
        <v>157</v>
      </c>
      <c r="L52" s="394"/>
      <c r="N52" s="67"/>
      <c r="O52" s="67"/>
      <c r="P52" s="67"/>
      <c r="Q52" s="67"/>
      <c r="R52" s="67"/>
      <c r="T52" s="1"/>
      <c r="U52" s="1"/>
      <c r="V52" s="1"/>
      <c r="W52" s="1"/>
      <c r="X52" s="1"/>
      <c r="Y52" s="1"/>
    </row>
    <row r="53" spans="1:25" ht="14.5" thickBot="1" x14ac:dyDescent="0.35">
      <c r="A53" s="8"/>
      <c r="B53" s="705"/>
      <c r="C53" s="706"/>
      <c r="D53" s="703" t="s">
        <v>988</v>
      </c>
      <c r="E53" s="695">
        <v>150000000</v>
      </c>
      <c r="F53" s="695"/>
      <c r="G53" s="695"/>
      <c r="H53" s="696"/>
      <c r="I53" s="695">
        <f>SUM(E53:H53)</f>
        <v>150000000</v>
      </c>
      <c r="J53" s="8" t="s">
        <v>157</v>
      </c>
      <c r="L53" s="394"/>
      <c r="N53" s="67"/>
      <c r="O53" s="67"/>
      <c r="P53" s="67"/>
      <c r="Q53" s="67"/>
      <c r="R53" s="67"/>
      <c r="T53" s="1"/>
      <c r="U53" s="1"/>
      <c r="V53" s="1"/>
      <c r="W53" s="1"/>
      <c r="X53" s="1"/>
      <c r="Y53" s="1"/>
    </row>
    <row r="54" spans="1:25" ht="14" x14ac:dyDescent="0.3">
      <c r="A54" s="8"/>
      <c r="B54" s="1099" t="s">
        <v>809</v>
      </c>
      <c r="C54" s="1100"/>
      <c r="D54" s="1101"/>
      <c r="E54" s="222"/>
      <c r="F54" s="222"/>
      <c r="G54" s="222"/>
      <c r="H54" s="223"/>
      <c r="I54" s="222"/>
      <c r="J54" s="8"/>
      <c r="N54" s="67"/>
      <c r="O54" s="67"/>
      <c r="P54" s="67"/>
      <c r="Q54" s="67"/>
      <c r="R54" s="67"/>
      <c r="T54" s="1"/>
      <c r="U54" s="1"/>
      <c r="V54" s="1"/>
      <c r="W54" s="1"/>
      <c r="X54" s="1"/>
      <c r="Y54" s="1"/>
    </row>
    <row r="55" spans="1:25" ht="14" x14ac:dyDescent="0.3">
      <c r="A55" s="8"/>
      <c r="B55" s="371" t="s">
        <v>477</v>
      </c>
      <c r="C55" s="39"/>
      <c r="D55" s="700" t="s">
        <v>79</v>
      </c>
      <c r="E55" s="221">
        <v>850000000</v>
      </c>
      <c r="F55" s="221"/>
      <c r="G55" s="221"/>
      <c r="H55" s="224"/>
      <c r="I55" s="221">
        <f>SUM(E55:H55)</f>
        <v>850000000</v>
      </c>
      <c r="J55" s="8" t="s">
        <v>157</v>
      </c>
      <c r="K55" s="394">
        <f>E55+E52+E40+E37</f>
        <v>1041500000</v>
      </c>
      <c r="L55" s="394"/>
      <c r="N55" s="67"/>
      <c r="O55" s="67"/>
      <c r="P55" s="67"/>
      <c r="Q55" s="67"/>
      <c r="R55" s="67"/>
      <c r="T55" s="1"/>
      <c r="U55" s="1"/>
      <c r="V55" s="1"/>
      <c r="W55" s="1"/>
      <c r="X55" s="1"/>
      <c r="Y55" s="1"/>
    </row>
    <row r="56" spans="1:25" ht="14.5" thickBot="1" x14ac:dyDescent="0.35">
      <c r="A56" s="8"/>
      <c r="B56" s="701"/>
      <c r="C56" s="704"/>
      <c r="D56" s="703" t="s">
        <v>988</v>
      </c>
      <c r="E56" s="695">
        <v>850000000</v>
      </c>
      <c r="F56" s="695"/>
      <c r="G56" s="695"/>
      <c r="H56" s="696"/>
      <c r="I56" s="695">
        <f>SUM(E56:H56)</f>
        <v>850000000</v>
      </c>
      <c r="J56" s="8" t="s">
        <v>157</v>
      </c>
      <c r="K56" s="394"/>
      <c r="L56" s="394"/>
      <c r="N56" s="67"/>
      <c r="O56" s="67"/>
      <c r="P56" s="67"/>
      <c r="Q56" s="67"/>
      <c r="R56" s="67"/>
      <c r="T56" s="1"/>
      <c r="U56" s="1"/>
      <c r="V56" s="1"/>
      <c r="W56" s="1"/>
      <c r="X56" s="1"/>
      <c r="Y56" s="1"/>
    </row>
    <row r="57" spans="1:25" ht="14" x14ac:dyDescent="0.3">
      <c r="A57" s="8"/>
      <c r="B57" s="486" t="s">
        <v>810</v>
      </c>
      <c r="C57" s="483"/>
      <c r="D57" s="484"/>
      <c r="E57" s="222"/>
      <c r="F57" s="222"/>
      <c r="G57" s="222"/>
      <c r="H57" s="223"/>
      <c r="I57" s="222"/>
      <c r="J57" s="8"/>
      <c r="K57" s="394"/>
      <c r="L57" s="394"/>
      <c r="N57" s="67"/>
      <c r="O57" s="67"/>
      <c r="P57" s="67"/>
      <c r="Q57" s="67"/>
      <c r="R57" s="67"/>
      <c r="T57" s="1"/>
      <c r="U57" s="1"/>
      <c r="V57" s="1"/>
      <c r="W57" s="1"/>
      <c r="X57" s="1"/>
      <c r="Y57" s="1"/>
    </row>
    <row r="58" spans="1:25" ht="14" x14ac:dyDescent="0.3">
      <c r="A58" s="8"/>
      <c r="B58" s="378" t="s">
        <v>811</v>
      </c>
      <c r="C58" s="379"/>
      <c r="D58" s="700" t="s">
        <v>79</v>
      </c>
      <c r="E58" s="221">
        <v>12700000</v>
      </c>
      <c r="F58" s="221"/>
      <c r="G58" s="221"/>
      <c r="H58" s="224"/>
      <c r="I58" s="221">
        <f>SUM(E58:H58)</f>
        <v>12700000</v>
      </c>
      <c r="J58" s="8" t="s">
        <v>157</v>
      </c>
      <c r="K58" s="394"/>
      <c r="L58" s="394"/>
      <c r="N58" s="67"/>
      <c r="O58" s="67"/>
      <c r="P58" s="67"/>
      <c r="Q58" s="67"/>
      <c r="R58" s="67"/>
      <c r="T58" s="1"/>
      <c r="U58" s="1"/>
      <c r="V58" s="1"/>
      <c r="W58" s="1"/>
      <c r="X58" s="1"/>
      <c r="Y58" s="1"/>
    </row>
    <row r="59" spans="1:25" ht="14.5" thickBot="1" x14ac:dyDescent="0.35">
      <c r="A59" s="8"/>
      <c r="B59" s="709"/>
      <c r="C59" s="710"/>
      <c r="D59" s="703" t="s">
        <v>988</v>
      </c>
      <c r="E59" s="695">
        <v>12700000</v>
      </c>
      <c r="F59" s="695"/>
      <c r="G59" s="695"/>
      <c r="H59" s="696"/>
      <c r="I59" s="695">
        <f>SUM(E59:H59)</f>
        <v>12700000</v>
      </c>
      <c r="J59" s="8" t="s">
        <v>157</v>
      </c>
      <c r="K59" s="394"/>
      <c r="L59" s="394"/>
      <c r="N59" s="67"/>
      <c r="O59" s="67"/>
      <c r="P59" s="67"/>
      <c r="Q59" s="67"/>
      <c r="R59" s="67"/>
      <c r="T59" s="1"/>
      <c r="U59" s="1"/>
      <c r="V59" s="1"/>
      <c r="W59" s="1"/>
      <c r="X59" s="1"/>
      <c r="Y59" s="1"/>
    </row>
    <row r="60" spans="1:25" ht="14" x14ac:dyDescent="0.3">
      <c r="A60" s="8"/>
      <c r="B60" s="485" t="s">
        <v>812</v>
      </c>
      <c r="C60" s="379"/>
      <c r="D60" s="380"/>
      <c r="E60" s="221"/>
      <c r="F60" s="221"/>
      <c r="G60" s="221"/>
      <c r="H60" s="224"/>
      <c r="I60" s="221"/>
      <c r="J60" s="8"/>
      <c r="K60" s="394"/>
      <c r="L60" s="394"/>
      <c r="N60" s="67"/>
      <c r="O60" s="67"/>
      <c r="P60" s="67"/>
      <c r="Q60" s="67"/>
      <c r="R60" s="67"/>
      <c r="T60" s="1"/>
      <c r="U60" s="1"/>
      <c r="V60" s="1"/>
      <c r="W60" s="1"/>
      <c r="X60" s="1"/>
      <c r="Y60" s="1"/>
    </row>
    <row r="61" spans="1:25" ht="14" x14ac:dyDescent="0.3">
      <c r="A61" s="8"/>
      <c r="B61" s="378" t="s">
        <v>477</v>
      </c>
      <c r="C61" s="379"/>
      <c r="D61" s="700" t="s">
        <v>79</v>
      </c>
      <c r="E61" s="221">
        <v>9932864</v>
      </c>
      <c r="F61" s="221"/>
      <c r="G61" s="221"/>
      <c r="H61" s="224"/>
      <c r="I61" s="221">
        <f>SUM(E61:H61)</f>
        <v>9932864</v>
      </c>
      <c r="J61" s="8" t="s">
        <v>157</v>
      </c>
      <c r="K61" s="394">
        <f>SUM(E36:E61)</f>
        <v>3658332864</v>
      </c>
      <c r="L61" s="394"/>
      <c r="N61" s="67"/>
      <c r="O61" s="67"/>
      <c r="P61" s="67"/>
      <c r="Q61" s="67"/>
      <c r="R61" s="67"/>
      <c r="T61" s="1"/>
      <c r="U61" s="1"/>
      <c r="V61" s="1"/>
      <c r="W61" s="1"/>
      <c r="X61" s="1"/>
      <c r="Y61" s="1"/>
    </row>
    <row r="62" spans="1:25" ht="14.5" thickBot="1" x14ac:dyDescent="0.35">
      <c r="A62" s="8"/>
      <c r="B62" s="378"/>
      <c r="C62" s="379"/>
      <c r="D62" s="703" t="s">
        <v>988</v>
      </c>
      <c r="E62" s="221">
        <v>9932864</v>
      </c>
      <c r="F62" s="221"/>
      <c r="G62" s="221"/>
      <c r="H62" s="224"/>
      <c r="I62" s="221">
        <f>SUM(E62:H62)</f>
        <v>9932864</v>
      </c>
      <c r="J62" s="8" t="s">
        <v>157</v>
      </c>
      <c r="K62" s="394"/>
      <c r="L62" s="394"/>
      <c r="N62" s="67"/>
      <c r="O62" s="67"/>
      <c r="P62" s="67"/>
      <c r="Q62" s="67"/>
      <c r="R62" s="67"/>
      <c r="T62" s="1"/>
      <c r="U62" s="1"/>
      <c r="V62" s="1"/>
      <c r="W62" s="1"/>
      <c r="X62" s="1"/>
      <c r="Y62" s="1"/>
    </row>
    <row r="63" spans="1:25" ht="26.5" customHeight="1" x14ac:dyDescent="0.3">
      <c r="A63" s="8"/>
      <c r="B63" s="1112" t="s">
        <v>754</v>
      </c>
      <c r="C63" s="1113"/>
      <c r="D63" s="1114"/>
      <c r="E63" s="222"/>
      <c r="F63" s="222"/>
      <c r="G63" s="222"/>
      <c r="H63" s="223"/>
      <c r="I63" s="222"/>
      <c r="J63" s="8"/>
      <c r="N63" s="67"/>
      <c r="O63" s="67"/>
      <c r="P63" s="67"/>
      <c r="Q63" s="67"/>
      <c r="R63" s="67"/>
      <c r="T63" s="1"/>
      <c r="U63" s="1"/>
      <c r="V63" s="1"/>
      <c r="W63" s="1"/>
      <c r="X63" s="1"/>
      <c r="Y63" s="1"/>
    </row>
    <row r="64" spans="1:25" ht="14" x14ac:dyDescent="0.3">
      <c r="A64" s="8"/>
      <c r="B64" s="307" t="s">
        <v>755</v>
      </c>
      <c r="C64" s="379"/>
      <c r="D64" s="700" t="s">
        <v>79</v>
      </c>
      <c r="E64" s="221">
        <v>2540000</v>
      </c>
      <c r="F64" s="221"/>
      <c r="G64" s="221"/>
      <c r="H64" s="224"/>
      <c r="I64" s="221">
        <f>SUM(E64:H64)</f>
        <v>2540000</v>
      </c>
      <c r="J64" s="8" t="s">
        <v>158</v>
      </c>
      <c r="L64" s="394"/>
      <c r="N64" s="67"/>
      <c r="O64" s="67"/>
      <c r="P64" s="67"/>
      <c r="Q64" s="67"/>
      <c r="R64" s="67"/>
      <c r="T64" s="1"/>
      <c r="U64" s="1"/>
      <c r="V64" s="1"/>
      <c r="W64" s="1"/>
      <c r="X64" s="1"/>
      <c r="Y64" s="1"/>
    </row>
    <row r="65" spans="1:25" ht="14.5" thickBot="1" x14ac:dyDescent="0.35">
      <c r="A65" s="8"/>
      <c r="B65" s="711"/>
      <c r="C65" s="710"/>
      <c r="D65" s="703" t="s">
        <v>988</v>
      </c>
      <c r="E65" s="695">
        <f>2540000-283972</f>
        <v>2256028</v>
      </c>
      <c r="F65" s="695">
        <v>283972</v>
      </c>
      <c r="G65" s="695"/>
      <c r="H65" s="696"/>
      <c r="I65" s="695">
        <f>SUM(E65:H65)</f>
        <v>2540000</v>
      </c>
      <c r="J65" s="8" t="s">
        <v>158</v>
      </c>
      <c r="L65" s="394"/>
      <c r="N65" s="67"/>
      <c r="O65" s="67"/>
      <c r="P65" s="67"/>
      <c r="Q65" s="67"/>
      <c r="R65" s="67"/>
      <c r="T65" s="1"/>
      <c r="U65" s="1"/>
      <c r="V65" s="1"/>
      <c r="W65" s="1"/>
      <c r="X65" s="1"/>
      <c r="Y65" s="1"/>
    </row>
    <row r="66" spans="1:25" ht="14" x14ac:dyDescent="0.3">
      <c r="A66" s="8"/>
      <c r="B66" s="1109" t="s">
        <v>813</v>
      </c>
      <c r="C66" s="1110"/>
      <c r="D66" s="1111"/>
      <c r="E66" s="222"/>
      <c r="F66" s="222"/>
      <c r="G66" s="222"/>
      <c r="H66" s="223"/>
      <c r="I66" s="222"/>
      <c r="J66" s="87"/>
      <c r="N66" s="67"/>
      <c r="O66" s="67"/>
      <c r="P66" s="67"/>
      <c r="Q66" s="67"/>
      <c r="R66" s="67"/>
      <c r="T66" s="1"/>
      <c r="U66" s="1"/>
      <c r="V66" s="1"/>
      <c r="W66" s="1"/>
      <c r="X66" s="1"/>
      <c r="Y66" s="1"/>
    </row>
    <row r="67" spans="1:25" ht="14" x14ac:dyDescent="0.3">
      <c r="A67" s="8"/>
      <c r="B67" s="307" t="s">
        <v>814</v>
      </c>
      <c r="C67" s="379"/>
      <c r="D67" s="700" t="s">
        <v>79</v>
      </c>
      <c r="E67" s="221">
        <v>2380000</v>
      </c>
      <c r="F67" s="221"/>
      <c r="G67" s="221"/>
      <c r="H67" s="224"/>
      <c r="I67" s="221">
        <f>SUM(E67:H67)</f>
        <v>2380000</v>
      </c>
      <c r="J67" s="87" t="s">
        <v>158</v>
      </c>
      <c r="N67" s="67"/>
      <c r="O67" s="67"/>
      <c r="P67" s="67"/>
      <c r="Q67" s="67"/>
      <c r="R67" s="67"/>
      <c r="T67" s="1"/>
      <c r="U67" s="1"/>
      <c r="V67" s="1"/>
      <c r="W67" s="1"/>
      <c r="X67" s="1"/>
      <c r="Y67" s="1"/>
    </row>
    <row r="68" spans="1:25" ht="14.5" thickBot="1" x14ac:dyDescent="0.35">
      <c r="A68" s="8"/>
      <c r="B68" s="307"/>
      <c r="C68" s="379"/>
      <c r="D68" s="700" t="s">
        <v>988</v>
      </c>
      <c r="E68" s="221">
        <v>2380000</v>
      </c>
      <c r="F68" s="221"/>
      <c r="G68" s="221"/>
      <c r="H68" s="224"/>
      <c r="I68" s="221">
        <f>SUM(E68:H68)</f>
        <v>2380000</v>
      </c>
      <c r="J68" s="87" t="s">
        <v>158</v>
      </c>
      <c r="N68" s="67"/>
      <c r="O68" s="67"/>
      <c r="P68" s="67"/>
      <c r="Q68" s="67"/>
      <c r="R68" s="67"/>
      <c r="T68" s="1"/>
      <c r="U68" s="1"/>
      <c r="V68" s="1"/>
      <c r="W68" s="1"/>
      <c r="X68" s="1"/>
      <c r="Y68" s="1"/>
    </row>
    <row r="69" spans="1:25" ht="14" x14ac:dyDescent="0.3">
      <c r="A69" s="8"/>
      <c r="B69" s="1124" t="s">
        <v>1123</v>
      </c>
      <c r="C69" s="1125"/>
      <c r="D69" s="1126"/>
      <c r="E69" s="222"/>
      <c r="F69" s="222"/>
      <c r="G69" s="222"/>
      <c r="H69" s="223"/>
      <c r="I69" s="222"/>
      <c r="J69" s="87"/>
      <c r="N69" s="67"/>
      <c r="O69" s="67"/>
      <c r="P69" s="67"/>
      <c r="Q69" s="67"/>
      <c r="R69" s="67"/>
      <c r="T69" s="1"/>
      <c r="U69" s="1"/>
      <c r="V69" s="1"/>
      <c r="W69" s="1"/>
      <c r="X69" s="1"/>
      <c r="Y69" s="1"/>
    </row>
    <row r="70" spans="1:25" ht="14" x14ac:dyDescent="0.3">
      <c r="A70" s="8"/>
      <c r="B70" s="307"/>
      <c r="C70" s="379"/>
      <c r="D70" s="700" t="s">
        <v>79</v>
      </c>
      <c r="E70" s="221"/>
      <c r="F70" s="221"/>
      <c r="G70" s="221"/>
      <c r="H70" s="224"/>
      <c r="I70" s="221"/>
      <c r="J70" s="87" t="s">
        <v>158</v>
      </c>
      <c r="N70" s="67"/>
      <c r="O70" s="67"/>
      <c r="P70" s="67"/>
      <c r="Q70" s="67"/>
      <c r="R70" s="67"/>
      <c r="T70" s="1"/>
      <c r="U70" s="1"/>
      <c r="V70" s="1"/>
      <c r="W70" s="1"/>
      <c r="X70" s="1"/>
      <c r="Y70" s="1"/>
    </row>
    <row r="71" spans="1:25" ht="14.5" thickBot="1" x14ac:dyDescent="0.35">
      <c r="A71" s="8"/>
      <c r="B71" s="307" t="s">
        <v>1028</v>
      </c>
      <c r="C71" s="379"/>
      <c r="D71" s="700" t="s">
        <v>988</v>
      </c>
      <c r="E71" s="221">
        <v>15091197</v>
      </c>
      <c r="F71" s="221"/>
      <c r="G71" s="221"/>
      <c r="H71" s="224"/>
      <c r="I71" s="221">
        <f>SUM(E71:H71)</f>
        <v>15091197</v>
      </c>
      <c r="J71" s="87" t="s">
        <v>158</v>
      </c>
      <c r="N71" s="67"/>
      <c r="O71" s="67"/>
      <c r="P71" s="67"/>
      <c r="Q71" s="67"/>
      <c r="R71" s="67"/>
      <c r="T71" s="1"/>
      <c r="U71" s="1"/>
      <c r="V71" s="1"/>
      <c r="W71" s="1"/>
      <c r="X71" s="1"/>
      <c r="Y71" s="1"/>
    </row>
    <row r="72" spans="1:25" ht="27.5" customHeight="1" x14ac:dyDescent="0.3">
      <c r="A72" s="8"/>
      <c r="B72" s="1112" t="s">
        <v>311</v>
      </c>
      <c r="C72" s="1136"/>
      <c r="D72" s="1137"/>
      <c r="E72" s="222"/>
      <c r="F72" s="222"/>
      <c r="G72" s="222"/>
      <c r="H72" s="223"/>
      <c r="I72" s="222"/>
      <c r="J72" s="8"/>
      <c r="K72" s="394"/>
      <c r="L72" s="394"/>
      <c r="N72" s="67"/>
      <c r="O72" s="67"/>
      <c r="P72" s="67"/>
      <c r="Q72" s="67"/>
      <c r="R72" s="67"/>
      <c r="T72" s="1"/>
      <c r="U72" s="1"/>
      <c r="V72" s="1"/>
      <c r="W72" s="1"/>
      <c r="X72" s="1"/>
      <c r="Y72" s="1"/>
    </row>
    <row r="73" spans="1:25" ht="14" x14ac:dyDescent="0.3">
      <c r="A73" s="8"/>
      <c r="B73" s="307" t="s">
        <v>487</v>
      </c>
      <c r="C73" s="39"/>
      <c r="D73" s="700" t="s">
        <v>79</v>
      </c>
      <c r="E73" s="221">
        <v>1000000</v>
      </c>
      <c r="F73" s="221"/>
      <c r="G73" s="221"/>
      <c r="H73" s="224"/>
      <c r="I73" s="221">
        <f>SUM(E73:H73)</f>
        <v>1000000</v>
      </c>
      <c r="J73" s="8" t="s">
        <v>158</v>
      </c>
      <c r="N73" s="67"/>
      <c r="O73" s="67"/>
      <c r="P73" s="67"/>
      <c r="Q73" s="67"/>
      <c r="R73" s="67"/>
      <c r="T73" s="1"/>
      <c r="U73" s="1"/>
      <c r="V73" s="1"/>
      <c r="W73" s="1"/>
      <c r="X73" s="1"/>
      <c r="Y73" s="1"/>
    </row>
    <row r="74" spans="1:25" ht="14.5" thickBot="1" x14ac:dyDescent="0.35">
      <c r="A74" s="8"/>
      <c r="B74" s="307"/>
      <c r="C74" s="39"/>
      <c r="D74" s="703" t="s">
        <v>988</v>
      </c>
      <c r="E74" s="221">
        <v>1000000</v>
      </c>
      <c r="F74" s="221"/>
      <c r="G74" s="221"/>
      <c r="H74" s="224"/>
      <c r="I74" s="221">
        <f>SUM(E74:H74)</f>
        <v>1000000</v>
      </c>
      <c r="J74" s="8" t="s">
        <v>158</v>
      </c>
      <c r="N74" s="67"/>
      <c r="O74" s="67"/>
      <c r="P74" s="67"/>
      <c r="Q74" s="67"/>
      <c r="R74" s="67"/>
      <c r="T74" s="1"/>
      <c r="U74" s="1"/>
      <c r="V74" s="1"/>
      <c r="W74" s="1"/>
      <c r="X74" s="1"/>
      <c r="Y74" s="1"/>
    </row>
    <row r="75" spans="1:25" ht="48.5" customHeight="1" x14ac:dyDescent="0.3">
      <c r="A75" s="8"/>
      <c r="B75" s="1104" t="s">
        <v>1125</v>
      </c>
      <c r="C75" s="1107"/>
      <c r="D75" s="1108"/>
      <c r="E75" s="222"/>
      <c r="F75" s="222"/>
      <c r="G75" s="222"/>
      <c r="H75" s="223"/>
      <c r="I75" s="222"/>
      <c r="J75" s="8"/>
      <c r="N75" s="67"/>
      <c r="O75" s="67"/>
      <c r="P75" s="67"/>
      <c r="Q75" s="67"/>
      <c r="R75" s="67"/>
      <c r="T75" s="1"/>
      <c r="U75" s="1"/>
      <c r="V75" s="1"/>
      <c r="W75" s="1"/>
      <c r="X75" s="1"/>
      <c r="Y75" s="1"/>
    </row>
    <row r="76" spans="1:25" ht="14" x14ac:dyDescent="0.3">
      <c r="A76" s="8"/>
      <c r="B76" s="307" t="s">
        <v>488</v>
      </c>
      <c r="C76" s="39"/>
      <c r="D76" s="700" t="s">
        <v>79</v>
      </c>
      <c r="E76" s="221"/>
      <c r="F76" s="221"/>
      <c r="G76" s="221"/>
      <c r="H76" s="224">
        <v>3000000</v>
      </c>
      <c r="I76" s="221">
        <f>SUM(E76:H76)</f>
        <v>3000000</v>
      </c>
      <c r="J76" s="8" t="s">
        <v>157</v>
      </c>
      <c r="K76" s="394">
        <f>I76+I73+I67+I64</f>
        <v>8920000</v>
      </c>
      <c r="N76" s="67"/>
      <c r="O76" s="67"/>
      <c r="P76" s="67"/>
      <c r="Q76" s="67"/>
      <c r="R76" s="67"/>
      <c r="T76" s="1"/>
      <c r="U76" s="1"/>
      <c r="V76" s="1"/>
      <c r="W76" s="1"/>
      <c r="X76" s="1"/>
      <c r="Y76" s="1"/>
    </row>
    <row r="77" spans="1:25" ht="14.5" thickBot="1" x14ac:dyDescent="0.35">
      <c r="A77" s="8"/>
      <c r="B77" s="307"/>
      <c r="C77" s="39"/>
      <c r="D77" s="703" t="s">
        <v>988</v>
      </c>
      <c r="E77" s="221"/>
      <c r="F77" s="221"/>
      <c r="G77" s="221"/>
      <c r="H77" s="224">
        <f>3000000+3000000</f>
        <v>6000000</v>
      </c>
      <c r="I77" s="221">
        <f>SUM(E77:H77)</f>
        <v>6000000</v>
      </c>
      <c r="J77" s="8" t="s">
        <v>157</v>
      </c>
      <c r="K77" s="394"/>
      <c r="N77" s="67"/>
      <c r="O77" s="67"/>
      <c r="P77" s="67"/>
      <c r="Q77" s="67"/>
      <c r="R77" s="67"/>
      <c r="T77" s="1"/>
      <c r="U77" s="1"/>
      <c r="V77" s="1"/>
      <c r="W77" s="1"/>
      <c r="X77" s="1"/>
      <c r="Y77" s="1"/>
    </row>
    <row r="78" spans="1:25" ht="60.75" customHeight="1" x14ac:dyDescent="0.3">
      <c r="A78" s="67"/>
      <c r="B78" s="1138" t="s">
        <v>815</v>
      </c>
      <c r="C78" s="1110"/>
      <c r="D78" s="1111"/>
      <c r="E78" s="222"/>
      <c r="F78" s="222"/>
      <c r="G78" s="222"/>
      <c r="H78" s="223"/>
      <c r="I78" s="222"/>
      <c r="J78" s="8"/>
      <c r="N78" s="67"/>
      <c r="O78" s="67"/>
      <c r="P78" s="67"/>
      <c r="Q78" s="67"/>
      <c r="R78" s="67"/>
      <c r="T78" s="1"/>
      <c r="U78" s="1"/>
      <c r="V78" s="1"/>
      <c r="W78" s="1"/>
      <c r="X78" s="1"/>
      <c r="Y78" s="1"/>
    </row>
    <row r="79" spans="1:25" ht="14" x14ac:dyDescent="0.3">
      <c r="A79" s="67"/>
      <c r="B79" s="122" t="s">
        <v>291</v>
      </c>
      <c r="C79" s="39"/>
      <c r="D79" s="700" t="s">
        <v>79</v>
      </c>
      <c r="E79" s="221">
        <v>63407493</v>
      </c>
      <c r="F79" s="221"/>
      <c r="G79" s="221"/>
      <c r="H79" s="224"/>
      <c r="I79" s="221">
        <f>SUM(E79:H79)</f>
        <v>63407493</v>
      </c>
      <c r="J79" s="8" t="s">
        <v>158</v>
      </c>
      <c r="N79" s="67"/>
      <c r="O79" s="67"/>
      <c r="P79" s="67"/>
      <c r="Q79" s="67"/>
      <c r="R79" s="67"/>
      <c r="T79" s="1"/>
      <c r="U79" s="1"/>
      <c r="V79" s="1"/>
      <c r="W79" s="1"/>
      <c r="X79" s="1"/>
      <c r="Y79" s="1"/>
    </row>
    <row r="80" spans="1:25" ht="14.5" thickBot="1" x14ac:dyDescent="0.35">
      <c r="A80" s="67"/>
      <c r="B80" s="715"/>
      <c r="C80" s="704"/>
      <c r="D80" s="703" t="s">
        <v>988</v>
      </c>
      <c r="E80" s="695">
        <f>63407493+9375111</f>
        <v>72782604</v>
      </c>
      <c r="F80" s="695"/>
      <c r="G80" s="695"/>
      <c r="H80" s="696"/>
      <c r="I80" s="695">
        <f>SUM(E80:H80)</f>
        <v>72782604</v>
      </c>
      <c r="J80" s="8" t="s">
        <v>158</v>
      </c>
      <c r="N80" s="67"/>
      <c r="O80" s="67"/>
      <c r="P80" s="67"/>
      <c r="Q80" s="67"/>
      <c r="R80" s="67"/>
      <c r="T80" s="1"/>
      <c r="U80" s="1"/>
      <c r="V80" s="1"/>
      <c r="W80" s="1"/>
      <c r="X80" s="1"/>
      <c r="Y80" s="1"/>
    </row>
    <row r="81" spans="1:25" ht="41.25" customHeight="1" x14ac:dyDescent="0.3">
      <c r="A81" s="67"/>
      <c r="B81" s="1138" t="s">
        <v>569</v>
      </c>
      <c r="C81" s="1110"/>
      <c r="D81" s="1111"/>
      <c r="E81" s="222"/>
      <c r="F81" s="222"/>
      <c r="G81" s="222"/>
      <c r="H81" s="223"/>
      <c r="I81" s="222"/>
      <c r="J81" s="8"/>
      <c r="N81" s="67"/>
      <c r="O81" s="67"/>
      <c r="P81" s="67"/>
      <c r="Q81" s="67"/>
      <c r="R81" s="67"/>
      <c r="T81" s="1"/>
      <c r="U81" s="1"/>
      <c r="V81" s="1"/>
      <c r="W81" s="1"/>
      <c r="X81" s="1"/>
      <c r="Y81" s="1"/>
    </row>
    <row r="82" spans="1:25" ht="14" x14ac:dyDescent="0.3">
      <c r="A82" s="8"/>
      <c r="B82" s="122" t="s">
        <v>303</v>
      </c>
      <c r="C82" s="39"/>
      <c r="D82" s="700" t="s">
        <v>79</v>
      </c>
      <c r="E82" s="221">
        <v>2897601</v>
      </c>
      <c r="F82" s="221"/>
      <c r="G82" s="221"/>
      <c r="H82" s="224"/>
      <c r="I82" s="221">
        <f>SUM(E82:H82)</f>
        <v>2897601</v>
      </c>
      <c r="J82" s="8" t="s">
        <v>158</v>
      </c>
      <c r="N82" s="67"/>
      <c r="O82" s="67"/>
      <c r="P82" s="67"/>
      <c r="Q82" s="67"/>
      <c r="R82" s="67"/>
      <c r="T82" s="1"/>
      <c r="U82" s="1"/>
      <c r="V82" s="1"/>
      <c r="W82" s="1"/>
      <c r="X82" s="1"/>
      <c r="Y82" s="1"/>
    </row>
    <row r="83" spans="1:25" ht="14.5" thickBot="1" x14ac:dyDescent="0.35">
      <c r="A83" s="8"/>
      <c r="B83" s="122"/>
      <c r="C83" s="39"/>
      <c r="D83" s="703" t="s">
        <v>988</v>
      </c>
      <c r="E83" s="221">
        <f>2897601+2793730+2512800+326664</f>
        <v>8530795</v>
      </c>
      <c r="F83" s="221"/>
      <c r="G83" s="221"/>
      <c r="H83" s="224"/>
      <c r="I83" s="221">
        <f>SUM(E83:H83)</f>
        <v>8530795</v>
      </c>
      <c r="J83" s="8" t="s">
        <v>158</v>
      </c>
      <c r="N83" s="67"/>
      <c r="O83" s="67"/>
      <c r="P83" s="67"/>
      <c r="Q83" s="67"/>
      <c r="R83" s="67"/>
      <c r="T83" s="1"/>
      <c r="U83" s="1"/>
      <c r="V83" s="1"/>
      <c r="W83" s="1"/>
      <c r="X83" s="1"/>
      <c r="Y83" s="1"/>
    </row>
    <row r="84" spans="1:25" ht="41.25" customHeight="1" x14ac:dyDescent="0.3">
      <c r="A84" s="8"/>
      <c r="B84" s="1118" t="s">
        <v>1118</v>
      </c>
      <c r="C84" s="1119"/>
      <c r="D84" s="1120"/>
      <c r="E84" s="222"/>
      <c r="F84" s="222"/>
      <c r="G84" s="222"/>
      <c r="H84" s="222"/>
      <c r="I84" s="222"/>
      <c r="J84" s="8"/>
      <c r="N84" s="67"/>
      <c r="O84" s="67"/>
      <c r="P84" s="67"/>
      <c r="Q84" s="67"/>
      <c r="R84" s="67"/>
      <c r="T84" s="1"/>
      <c r="U84" s="1"/>
      <c r="V84" s="1"/>
      <c r="W84" s="1"/>
      <c r="X84" s="1"/>
      <c r="Y84" s="1"/>
    </row>
    <row r="85" spans="1:25" ht="14" x14ac:dyDescent="0.3">
      <c r="A85" s="8"/>
      <c r="B85" s="718" t="s">
        <v>371</v>
      </c>
      <c r="C85" s="719"/>
      <c r="D85" s="700" t="s">
        <v>79</v>
      </c>
      <c r="E85" s="221">
        <f>889000+12700000+635000</f>
        <v>14224000</v>
      </c>
      <c r="F85" s="221"/>
      <c r="G85" s="221"/>
      <c r="H85" s="221"/>
      <c r="I85" s="221">
        <f>SUM(E85:H85)</f>
        <v>14224000</v>
      </c>
      <c r="J85" s="8" t="s">
        <v>157</v>
      </c>
      <c r="N85" s="67"/>
      <c r="O85" s="67"/>
      <c r="P85" s="67"/>
      <c r="Q85" s="67"/>
      <c r="R85" s="67"/>
      <c r="T85" s="1"/>
      <c r="U85" s="1"/>
      <c r="V85" s="1"/>
      <c r="W85" s="1"/>
      <c r="X85" s="1"/>
      <c r="Y85" s="1"/>
    </row>
    <row r="86" spans="1:25" ht="14.5" thickBot="1" x14ac:dyDescent="0.35">
      <c r="A86" s="8"/>
      <c r="B86" s="716"/>
      <c r="C86" s="717"/>
      <c r="D86" s="703" t="s">
        <v>988</v>
      </c>
      <c r="E86" s="695">
        <v>1524000</v>
      </c>
      <c r="F86" s="714"/>
      <c r="G86" s="695"/>
      <c r="H86" s="714"/>
      <c r="I86" s="695">
        <v>1524000</v>
      </c>
      <c r="J86" s="8" t="s">
        <v>157</v>
      </c>
      <c r="N86" s="67"/>
      <c r="O86" s="67"/>
      <c r="P86" s="67"/>
      <c r="Q86" s="67"/>
      <c r="R86" s="67"/>
      <c r="T86" s="1"/>
      <c r="U86" s="1"/>
      <c r="V86" s="1"/>
      <c r="W86" s="1"/>
      <c r="X86" s="1"/>
      <c r="Y86" s="1"/>
    </row>
    <row r="87" spans="1:25" ht="25.75" customHeight="1" x14ac:dyDescent="0.3">
      <c r="A87" s="8"/>
      <c r="B87" s="1118" t="s">
        <v>1117</v>
      </c>
      <c r="C87" s="1119"/>
      <c r="D87" s="1120"/>
      <c r="E87" s="221"/>
      <c r="F87" s="246"/>
      <c r="G87" s="221"/>
      <c r="H87" s="246"/>
      <c r="I87" s="221"/>
      <c r="J87" s="8"/>
      <c r="N87" s="67"/>
      <c r="O87" s="67"/>
      <c r="P87" s="67"/>
      <c r="Q87" s="67"/>
      <c r="R87" s="67"/>
      <c r="T87" s="1"/>
      <c r="U87" s="1"/>
      <c r="V87" s="1"/>
      <c r="W87" s="1"/>
      <c r="X87" s="1"/>
      <c r="Y87" s="1"/>
    </row>
    <row r="88" spans="1:25" ht="14" x14ac:dyDescent="0.3">
      <c r="A88" s="8"/>
      <c r="B88" s="718" t="s">
        <v>371</v>
      </c>
      <c r="C88" s="719"/>
      <c r="D88" s="700" t="s">
        <v>79</v>
      </c>
      <c r="E88" s="221">
        <v>0</v>
      </c>
      <c r="F88" s="246"/>
      <c r="G88" s="221"/>
      <c r="H88" s="246"/>
      <c r="I88" s="221">
        <v>0</v>
      </c>
      <c r="J88" s="8" t="s">
        <v>158</v>
      </c>
      <c r="N88" s="67"/>
      <c r="O88" s="67"/>
      <c r="P88" s="67"/>
      <c r="Q88" s="67"/>
      <c r="R88" s="67"/>
      <c r="T88" s="1"/>
      <c r="U88" s="1"/>
      <c r="V88" s="1"/>
      <c r="W88" s="1"/>
      <c r="X88" s="1"/>
      <c r="Y88" s="1"/>
    </row>
    <row r="89" spans="1:25" ht="14.5" thickBot="1" x14ac:dyDescent="0.35">
      <c r="A89" s="8"/>
      <c r="B89" s="716"/>
      <c r="C89" s="717"/>
      <c r="D89" s="703" t="s">
        <v>988</v>
      </c>
      <c r="E89" s="221">
        <f>12700000+124991</f>
        <v>12824991</v>
      </c>
      <c r="F89" s="246"/>
      <c r="G89" s="221"/>
      <c r="H89" s="246"/>
      <c r="I89" s="221">
        <f>SUM(E89:H89)</f>
        <v>12824991</v>
      </c>
      <c r="J89" s="8" t="s">
        <v>158</v>
      </c>
      <c r="N89" s="67"/>
      <c r="O89" s="67"/>
      <c r="P89" s="67"/>
      <c r="Q89" s="67"/>
      <c r="R89" s="67"/>
      <c r="T89" s="1"/>
      <c r="U89" s="1"/>
      <c r="V89" s="1"/>
      <c r="W89" s="1"/>
      <c r="X89" s="1"/>
      <c r="Y89" s="1"/>
    </row>
    <row r="90" spans="1:25" ht="39.65" customHeight="1" x14ac:dyDescent="0.3">
      <c r="A90" s="8"/>
      <c r="B90" s="1089" t="s">
        <v>1003</v>
      </c>
      <c r="C90" s="1090"/>
      <c r="D90" s="1130"/>
      <c r="E90" s="222"/>
      <c r="F90" s="245"/>
      <c r="G90" s="222"/>
      <c r="H90" s="245"/>
      <c r="I90" s="222"/>
      <c r="J90" s="8"/>
      <c r="N90" s="67"/>
      <c r="O90" s="67"/>
      <c r="P90" s="67"/>
      <c r="Q90" s="67"/>
      <c r="R90" s="67"/>
      <c r="T90" s="1"/>
      <c r="U90" s="1"/>
      <c r="V90" s="1"/>
      <c r="W90" s="1"/>
      <c r="X90" s="1"/>
      <c r="Y90" s="1"/>
    </row>
    <row r="91" spans="1:25" ht="14" x14ac:dyDescent="0.3">
      <c r="A91" s="8"/>
      <c r="B91" s="759"/>
      <c r="C91" s="760"/>
      <c r="D91" s="761" t="s">
        <v>79</v>
      </c>
      <c r="E91" s="221">
        <v>1225550</v>
      </c>
      <c r="F91" s="246"/>
      <c r="G91" s="221"/>
      <c r="H91" s="246"/>
      <c r="I91" s="221">
        <f>SUM(E91:H91)</f>
        <v>1225550</v>
      </c>
      <c r="J91" s="8" t="s">
        <v>157</v>
      </c>
      <c r="K91" s="394">
        <f>SUM(I91+I85+I82+I79)</f>
        <v>81754644</v>
      </c>
      <c r="N91" s="67"/>
      <c r="O91" s="67"/>
      <c r="P91" s="67"/>
      <c r="Q91" s="67"/>
      <c r="R91" s="67"/>
      <c r="T91" s="1"/>
      <c r="U91" s="1"/>
      <c r="V91" s="1"/>
      <c r="W91" s="1"/>
      <c r="X91" s="1"/>
      <c r="Y91" s="1"/>
    </row>
    <row r="92" spans="1:25" ht="14.5" thickBot="1" x14ac:dyDescent="0.35">
      <c r="A92" s="8"/>
      <c r="B92" s="712" t="s">
        <v>371</v>
      </c>
      <c r="C92" s="713"/>
      <c r="D92" s="762" t="s">
        <v>988</v>
      </c>
      <c r="E92" s="695">
        <v>1225550</v>
      </c>
      <c r="F92" s="714"/>
      <c r="G92" s="695"/>
      <c r="H92" s="714"/>
      <c r="I92" s="695">
        <f>SUM(E92:H92)</f>
        <v>1225550</v>
      </c>
      <c r="J92" s="8" t="s">
        <v>157</v>
      </c>
      <c r="K92" s="394"/>
      <c r="N92" s="67"/>
      <c r="O92" s="67"/>
      <c r="P92" s="67"/>
      <c r="Q92" s="67"/>
      <c r="R92" s="67"/>
      <c r="T92" s="1"/>
      <c r="U92" s="1"/>
      <c r="V92" s="1"/>
      <c r="W92" s="1"/>
      <c r="X92" s="1"/>
      <c r="Y92" s="1"/>
    </row>
    <row r="93" spans="1:25" ht="14" x14ac:dyDescent="0.3">
      <c r="A93" s="8"/>
      <c r="B93" s="1089" t="s">
        <v>1047</v>
      </c>
      <c r="C93" s="1090"/>
      <c r="D93" s="763"/>
      <c r="E93" s="221"/>
      <c r="F93" s="246"/>
      <c r="G93" s="221"/>
      <c r="H93" s="246"/>
      <c r="I93" s="221"/>
      <c r="J93" s="8"/>
      <c r="K93" s="394"/>
      <c r="N93" s="67"/>
      <c r="O93" s="67"/>
      <c r="P93" s="67"/>
      <c r="Q93" s="67"/>
      <c r="R93" s="67"/>
      <c r="T93" s="1"/>
      <c r="U93" s="1"/>
      <c r="V93" s="1"/>
      <c r="W93" s="1"/>
      <c r="X93" s="1"/>
      <c r="Y93" s="1"/>
    </row>
    <row r="94" spans="1:25" ht="14" x14ac:dyDescent="0.3">
      <c r="A94" s="8"/>
      <c r="B94" s="1091"/>
      <c r="C94" s="1092"/>
      <c r="D94" s="763" t="s">
        <v>79</v>
      </c>
      <c r="E94" s="221"/>
      <c r="F94" s="246"/>
      <c r="G94" s="221"/>
      <c r="H94" s="246"/>
      <c r="I94" s="221"/>
      <c r="J94" s="8" t="s">
        <v>158</v>
      </c>
      <c r="K94" s="394"/>
      <c r="N94" s="67"/>
      <c r="O94" s="67"/>
      <c r="P94" s="67"/>
      <c r="Q94" s="67"/>
      <c r="R94" s="67"/>
      <c r="T94" s="1"/>
      <c r="U94" s="1"/>
      <c r="V94" s="1"/>
      <c r="W94" s="1"/>
      <c r="X94" s="1"/>
      <c r="Y94" s="1"/>
    </row>
    <row r="95" spans="1:25" ht="14.5" thickBot="1" x14ac:dyDescent="0.35">
      <c r="A95" s="8"/>
      <c r="B95" s="712" t="s">
        <v>371</v>
      </c>
      <c r="C95" s="713"/>
      <c r="D95" s="762" t="s">
        <v>988</v>
      </c>
      <c r="E95" s="695">
        <v>189270</v>
      </c>
      <c r="F95" s="714"/>
      <c r="G95" s="695"/>
      <c r="H95" s="714"/>
      <c r="I95" s="695">
        <f>SUM(E95:H95)</f>
        <v>189270</v>
      </c>
      <c r="J95" s="8" t="s">
        <v>158</v>
      </c>
      <c r="K95" s="394"/>
      <c r="N95" s="67"/>
      <c r="O95" s="67"/>
      <c r="P95" s="67"/>
      <c r="Q95" s="67"/>
      <c r="R95" s="67"/>
      <c r="T95" s="1"/>
      <c r="U95" s="1"/>
      <c r="V95" s="1"/>
      <c r="W95" s="1"/>
      <c r="X95" s="1"/>
      <c r="Y95" s="1"/>
    </row>
    <row r="96" spans="1:25" ht="14" x14ac:dyDescent="0.3">
      <c r="A96" s="8"/>
      <c r="B96" s="1089" t="s">
        <v>1048</v>
      </c>
      <c r="C96" s="1090"/>
      <c r="D96" s="763"/>
      <c r="E96" s="221"/>
      <c r="F96" s="246"/>
      <c r="G96" s="221"/>
      <c r="H96" s="246"/>
      <c r="I96" s="221"/>
      <c r="J96" s="8"/>
      <c r="K96" s="394"/>
      <c r="N96" s="67"/>
      <c r="O96" s="67"/>
      <c r="P96" s="67"/>
      <c r="Q96" s="67"/>
      <c r="R96" s="67"/>
      <c r="T96" s="1"/>
      <c r="U96" s="1"/>
      <c r="V96" s="1"/>
      <c r="W96" s="1"/>
      <c r="X96" s="1"/>
      <c r="Y96" s="1"/>
    </row>
    <row r="97" spans="1:25" ht="14" x14ac:dyDescent="0.3">
      <c r="A97" s="8"/>
      <c r="B97" s="1091"/>
      <c r="C97" s="1092"/>
      <c r="D97" s="763" t="s">
        <v>79</v>
      </c>
      <c r="E97" s="221"/>
      <c r="F97" s="246"/>
      <c r="G97" s="221"/>
      <c r="H97" s="246"/>
      <c r="I97" s="221"/>
      <c r="J97" s="8" t="s">
        <v>158</v>
      </c>
      <c r="K97" s="394"/>
      <c r="N97" s="67"/>
      <c r="O97" s="67"/>
      <c r="P97" s="67"/>
      <c r="Q97" s="67"/>
      <c r="R97" s="67"/>
      <c r="T97" s="1"/>
      <c r="U97" s="1"/>
      <c r="V97" s="1"/>
      <c r="W97" s="1"/>
      <c r="X97" s="1"/>
      <c r="Y97" s="1"/>
    </row>
    <row r="98" spans="1:25" ht="16.75" customHeight="1" thickBot="1" x14ac:dyDescent="0.35">
      <c r="A98" s="8"/>
      <c r="B98" s="712" t="s">
        <v>371</v>
      </c>
      <c r="C98" s="713"/>
      <c r="D98" s="762" t="s">
        <v>988</v>
      </c>
      <c r="E98" s="695">
        <v>150000</v>
      </c>
      <c r="F98" s="714"/>
      <c r="G98" s="695"/>
      <c r="H98" s="714"/>
      <c r="I98" s="695">
        <f>SUM(E98:H98)</f>
        <v>150000</v>
      </c>
      <c r="J98" s="8" t="s">
        <v>158</v>
      </c>
      <c r="K98" s="394"/>
      <c r="N98" s="67"/>
      <c r="O98" s="67"/>
      <c r="P98" s="67"/>
      <c r="Q98" s="67"/>
      <c r="R98" s="67"/>
      <c r="T98" s="1"/>
      <c r="U98" s="1"/>
      <c r="V98" s="1"/>
      <c r="W98" s="1"/>
      <c r="X98" s="1"/>
      <c r="Y98" s="1"/>
    </row>
    <row r="99" spans="1:25" ht="16.75" customHeight="1" x14ac:dyDescent="0.3">
      <c r="A99" s="8"/>
      <c r="B99" s="1089" t="s">
        <v>1049</v>
      </c>
      <c r="C99" s="1090"/>
      <c r="D99" s="763"/>
      <c r="E99" s="221"/>
      <c r="F99" s="246"/>
      <c r="G99" s="221"/>
      <c r="H99" s="246"/>
      <c r="I99" s="221"/>
      <c r="J99" s="8"/>
      <c r="K99" s="394"/>
      <c r="N99" s="67"/>
      <c r="O99" s="67"/>
      <c r="P99" s="67"/>
      <c r="Q99" s="67"/>
      <c r="R99" s="67"/>
      <c r="T99" s="1"/>
      <c r="U99" s="1"/>
      <c r="V99" s="1"/>
      <c r="W99" s="1"/>
      <c r="X99" s="1"/>
      <c r="Y99" s="1"/>
    </row>
    <row r="100" spans="1:25" ht="16.75" customHeight="1" x14ac:dyDescent="0.3">
      <c r="A100" s="8"/>
      <c r="B100" s="1091"/>
      <c r="C100" s="1092"/>
      <c r="D100" s="763" t="s">
        <v>79</v>
      </c>
      <c r="E100" s="221"/>
      <c r="F100" s="246"/>
      <c r="G100" s="221"/>
      <c r="H100" s="246"/>
      <c r="I100" s="221"/>
      <c r="J100" s="8" t="s">
        <v>158</v>
      </c>
      <c r="K100" s="394"/>
      <c r="N100" s="67"/>
      <c r="O100" s="67"/>
      <c r="P100" s="67"/>
      <c r="Q100" s="67"/>
      <c r="R100" s="67"/>
      <c r="T100" s="1"/>
      <c r="U100" s="1"/>
      <c r="V100" s="1"/>
      <c r="W100" s="1"/>
      <c r="X100" s="1"/>
      <c r="Y100" s="1"/>
    </row>
    <row r="101" spans="1:25" ht="16.75" customHeight="1" thickBot="1" x14ac:dyDescent="0.35">
      <c r="A101" s="8"/>
      <c r="B101" s="712" t="s">
        <v>371</v>
      </c>
      <c r="C101" s="713"/>
      <c r="D101" s="762" t="s">
        <v>988</v>
      </c>
      <c r="E101" s="695">
        <v>189900</v>
      </c>
      <c r="F101" s="714"/>
      <c r="G101" s="695"/>
      <c r="H101" s="714"/>
      <c r="I101" s="695">
        <f>SUM(E101:H101)</f>
        <v>189900</v>
      </c>
      <c r="J101" s="8" t="s">
        <v>158</v>
      </c>
      <c r="K101" s="394"/>
      <c r="N101" s="67"/>
      <c r="O101" s="67"/>
      <c r="P101" s="67"/>
      <c r="Q101" s="67"/>
      <c r="R101" s="67"/>
      <c r="T101" s="1"/>
      <c r="U101" s="1"/>
      <c r="V101" s="1"/>
      <c r="W101" s="1"/>
      <c r="X101" s="1"/>
      <c r="Y101" s="1"/>
    </row>
    <row r="102" spans="1:25" ht="16.75" customHeight="1" x14ac:dyDescent="0.3">
      <c r="A102" s="8"/>
      <c r="B102" s="1089" t="s">
        <v>1050</v>
      </c>
      <c r="C102" s="1090"/>
      <c r="D102" s="763"/>
      <c r="E102" s="221"/>
      <c r="F102" s="246"/>
      <c r="G102" s="221"/>
      <c r="H102" s="246"/>
      <c r="I102" s="221"/>
      <c r="J102" s="8"/>
      <c r="K102" s="394"/>
      <c r="N102" s="67"/>
      <c r="O102" s="67"/>
      <c r="P102" s="67"/>
      <c r="Q102" s="67"/>
      <c r="R102" s="67"/>
      <c r="T102" s="1"/>
      <c r="U102" s="1"/>
      <c r="V102" s="1"/>
      <c r="W102" s="1"/>
      <c r="X102" s="1"/>
      <c r="Y102" s="1"/>
    </row>
    <row r="103" spans="1:25" ht="16.75" customHeight="1" x14ac:dyDescent="0.3">
      <c r="A103" s="8"/>
      <c r="B103" s="1091"/>
      <c r="C103" s="1092"/>
      <c r="D103" s="763" t="s">
        <v>79</v>
      </c>
      <c r="E103" s="221"/>
      <c r="F103" s="246"/>
      <c r="G103" s="221"/>
      <c r="H103" s="246"/>
      <c r="I103" s="221"/>
      <c r="J103" s="8" t="s">
        <v>158</v>
      </c>
      <c r="K103" s="394"/>
      <c r="N103" s="67"/>
      <c r="O103" s="67"/>
      <c r="P103" s="67"/>
      <c r="Q103" s="67"/>
      <c r="R103" s="67"/>
      <c r="T103" s="1"/>
      <c r="U103" s="1"/>
      <c r="V103" s="1"/>
      <c r="W103" s="1"/>
      <c r="X103" s="1"/>
      <c r="Y103" s="1"/>
    </row>
    <row r="104" spans="1:25" ht="16.75" customHeight="1" thickBot="1" x14ac:dyDescent="0.35">
      <c r="A104" s="8"/>
      <c r="B104" s="712" t="s">
        <v>371</v>
      </c>
      <c r="C104" s="713"/>
      <c r="D104" s="762" t="s">
        <v>988</v>
      </c>
      <c r="E104" s="695">
        <v>58800</v>
      </c>
      <c r="F104" s="714"/>
      <c r="G104" s="695"/>
      <c r="H104" s="714"/>
      <c r="I104" s="695">
        <f>SUM(E104:H104)</f>
        <v>58800</v>
      </c>
      <c r="J104" s="8" t="s">
        <v>158</v>
      </c>
      <c r="K104" s="394"/>
      <c r="N104" s="67"/>
      <c r="O104" s="67"/>
      <c r="P104" s="67"/>
      <c r="Q104" s="67"/>
      <c r="R104" s="67"/>
      <c r="T104" s="1"/>
      <c r="U104" s="1"/>
      <c r="V104" s="1"/>
      <c r="W104" s="1"/>
      <c r="X104" s="1"/>
      <c r="Y104" s="1"/>
    </row>
    <row r="105" spans="1:25" ht="14.5" thickBot="1" x14ac:dyDescent="0.35">
      <c r="A105" s="8"/>
      <c r="B105" s="614" t="s">
        <v>61</v>
      </c>
      <c r="C105" s="615"/>
      <c r="D105" s="765" t="s">
        <v>79</v>
      </c>
      <c r="E105" s="247">
        <f>E7+E10+E13+E19+E25+E28+E31+E34+E37+E40+E43+E46+E49+E52+E55+E58+E61+E64+E67+E73+E76+E79+E82+E85+E91+E94+E97+E100+E103</f>
        <v>3549374447</v>
      </c>
      <c r="F105" s="247">
        <f t="shared" ref="F105:I105" si="1">F7+F10+F13+F19+F25+F28+F31+F34+F37+F40+F43+F46+F49+F52+F55+F58+F61+F64+F67+F73+F76+F79+F82+F85+F91+F94+F97+F100+F103</f>
        <v>519895472</v>
      </c>
      <c r="G105" s="247">
        <f t="shared" si="1"/>
        <v>150000000</v>
      </c>
      <c r="H105" s="247">
        <f t="shared" si="1"/>
        <v>26000000</v>
      </c>
      <c r="I105" s="247">
        <f t="shared" si="1"/>
        <v>4245269919</v>
      </c>
      <c r="J105" s="87"/>
      <c r="K105" s="394">
        <f>SUM(I105-E105-F105-G105-H105)</f>
        <v>0</v>
      </c>
      <c r="L105" s="394"/>
      <c r="N105" s="67"/>
      <c r="O105" s="67"/>
      <c r="P105" s="67"/>
      <c r="Q105" s="67"/>
      <c r="R105" s="67"/>
      <c r="T105" s="1"/>
      <c r="U105" s="1"/>
      <c r="V105" s="1"/>
      <c r="W105" s="1"/>
      <c r="X105" s="1"/>
      <c r="Y105" s="1"/>
    </row>
    <row r="106" spans="1:25" ht="14" x14ac:dyDescent="0.3">
      <c r="A106" s="8"/>
      <c r="B106" s="188" t="s">
        <v>164</v>
      </c>
      <c r="C106" s="189"/>
      <c r="D106" s="294"/>
      <c r="E106" s="616">
        <f>E7+E13+E25+E28+E31+E34+E64+E67+E73+E79+E82+E94+E97+E100+E103</f>
        <v>1016692033</v>
      </c>
      <c r="F106" s="616">
        <f t="shared" ref="F106:I106" si="2">F7+F13+F25+F28+F31+F34+F64+F67+F73+F79+F82+F94+F97+F100+F103</f>
        <v>519895472</v>
      </c>
      <c r="G106" s="616">
        <f t="shared" si="2"/>
        <v>150000000</v>
      </c>
      <c r="H106" s="616">
        <f t="shared" si="2"/>
        <v>0</v>
      </c>
      <c r="I106" s="616">
        <f t="shared" si="2"/>
        <v>1686587505</v>
      </c>
      <c r="J106" s="87"/>
      <c r="K106" s="394"/>
      <c r="L106" s="394"/>
      <c r="N106" s="67"/>
      <c r="O106" s="67"/>
      <c r="P106" s="67"/>
      <c r="Q106" s="67"/>
      <c r="R106" s="67"/>
      <c r="T106" s="1"/>
      <c r="U106" s="1"/>
      <c r="V106" s="1"/>
      <c r="W106" s="1"/>
      <c r="X106" s="1"/>
      <c r="Y106" s="1"/>
    </row>
    <row r="107" spans="1:25" ht="14" x14ac:dyDescent="0.3">
      <c r="A107" s="8"/>
      <c r="B107" s="188" t="s">
        <v>165</v>
      </c>
      <c r="C107" s="189"/>
      <c r="D107" s="294"/>
      <c r="E107" s="617">
        <f>E10+E19+E37+E40+E43+E46+E49+E52+E55+E58+E61+E76+E85+E91</f>
        <v>2532682414</v>
      </c>
      <c r="F107" s="617">
        <f t="shared" ref="F107:I107" si="3">F10+F19+F37+F40+F43+F46+F49+F52+F55+F58+F61+F76+F85+F91</f>
        <v>0</v>
      </c>
      <c r="G107" s="617">
        <f t="shared" si="3"/>
        <v>0</v>
      </c>
      <c r="H107" s="617">
        <f t="shared" si="3"/>
        <v>26000000</v>
      </c>
      <c r="I107" s="617">
        <f t="shared" si="3"/>
        <v>2558682414</v>
      </c>
      <c r="J107" s="87"/>
      <c r="K107" s="394"/>
      <c r="L107" s="394"/>
      <c r="N107" s="67"/>
      <c r="O107" s="67"/>
      <c r="P107" s="67"/>
      <c r="Q107" s="67"/>
      <c r="R107" s="67"/>
      <c r="T107" s="1"/>
      <c r="U107" s="1"/>
      <c r="V107" s="1"/>
      <c r="W107" s="1"/>
      <c r="X107" s="1"/>
      <c r="Y107" s="1"/>
    </row>
    <row r="108" spans="1:25" ht="14.5" thickBot="1" x14ac:dyDescent="0.35">
      <c r="A108" s="8"/>
      <c r="B108" s="190" t="s">
        <v>86</v>
      </c>
      <c r="C108" s="191"/>
      <c r="D108" s="191" t="s">
        <v>79</v>
      </c>
      <c r="E108" s="618">
        <f>E105-E91-E85-E82-E79-E94-E97-E100-E103</f>
        <v>3467619803</v>
      </c>
      <c r="F108" s="618">
        <f t="shared" ref="F108:I108" si="4">F105-F91-F85-F82-F79-F94-F97-F100-F103</f>
        <v>519895472</v>
      </c>
      <c r="G108" s="618">
        <f t="shared" si="4"/>
        <v>150000000</v>
      </c>
      <c r="H108" s="618">
        <f t="shared" si="4"/>
        <v>26000000</v>
      </c>
      <c r="I108" s="618">
        <f t="shared" si="4"/>
        <v>4163515275</v>
      </c>
      <c r="J108" s="87"/>
      <c r="K108" s="394"/>
      <c r="L108" s="394"/>
      <c r="M108" s="394"/>
      <c r="N108" s="67"/>
      <c r="O108" s="67"/>
      <c r="P108" s="67"/>
      <c r="Q108" s="67"/>
      <c r="R108" s="67"/>
      <c r="T108" s="1"/>
      <c r="U108" s="1"/>
      <c r="V108" s="1"/>
      <c r="W108" s="1"/>
      <c r="X108" s="1"/>
      <c r="Y108" s="1"/>
    </row>
    <row r="109" spans="1:25" ht="14.5" thickBot="1" x14ac:dyDescent="0.35">
      <c r="A109" s="8"/>
      <c r="B109" s="614" t="s">
        <v>61</v>
      </c>
      <c r="C109" s="615"/>
      <c r="D109" s="765" t="s">
        <v>988</v>
      </c>
      <c r="E109" s="247">
        <f>E8+E11+E14+E20+E26+E29+E32+E35+E38+E41+E44+E47+E50+E53+E56+E59+E62+E65+E68+E74+E77+E80+E83+E86+E92+E95+E98+E101+E104+E89+E17+E71+E23</f>
        <v>4031456068</v>
      </c>
      <c r="F109" s="247">
        <f t="shared" ref="F109:I109" si="5">F8+F11+F14+F20+F26+F29+F32+F35+F38+F41+F44+F47+F50+F53+F56+F59+F62+F65+F68+F74+F77+F80+F83+F86+F92+F95+F98+F101+F104+F89+F17+F71+F23</f>
        <v>670989244</v>
      </c>
      <c r="G109" s="247">
        <f t="shared" si="5"/>
        <v>150000000</v>
      </c>
      <c r="H109" s="247">
        <f t="shared" si="5"/>
        <v>23100000</v>
      </c>
      <c r="I109" s="247">
        <f t="shared" si="5"/>
        <v>4875545312</v>
      </c>
      <c r="J109" s="87"/>
      <c r="K109" s="394"/>
      <c r="L109" s="394"/>
      <c r="M109" s="394"/>
      <c r="N109" s="67"/>
      <c r="O109" s="67"/>
      <c r="P109" s="67"/>
      <c r="Q109" s="67"/>
      <c r="R109" s="67"/>
      <c r="T109" s="1"/>
      <c r="U109" s="1"/>
      <c r="V109" s="1"/>
      <c r="W109" s="1"/>
      <c r="X109" s="1"/>
      <c r="Y109" s="1"/>
    </row>
    <row r="110" spans="1:25" ht="14" x14ac:dyDescent="0.3">
      <c r="A110" s="8"/>
      <c r="B110" s="188" t="s">
        <v>164</v>
      </c>
      <c r="C110" s="189"/>
      <c r="D110" s="294"/>
      <c r="E110" s="617">
        <f>E8+E14+E26+E29+E32+E35+E65+E68+E74+E80+E83+E95+E98+E101+E104+E89+E71</f>
        <v>1427756154</v>
      </c>
      <c r="F110" s="617">
        <f t="shared" ref="F110:I110" si="6">F8+F14+F26+F29+F32+F35+F65+F68+F74+F80+F83+F95+F98+F101+F104+F89+F71</f>
        <v>670989244</v>
      </c>
      <c r="G110" s="617">
        <f t="shared" si="6"/>
        <v>150000000</v>
      </c>
      <c r="H110" s="617">
        <f t="shared" si="6"/>
        <v>0</v>
      </c>
      <c r="I110" s="617">
        <f t="shared" si="6"/>
        <v>2248745398</v>
      </c>
      <c r="J110" s="87"/>
      <c r="K110" s="394"/>
      <c r="L110" s="394"/>
      <c r="M110" s="394"/>
      <c r="N110" s="67"/>
      <c r="O110" s="67"/>
      <c r="P110" s="67"/>
      <c r="Q110" s="67"/>
      <c r="R110" s="67"/>
      <c r="T110" s="1"/>
      <c r="U110" s="1"/>
      <c r="V110" s="1"/>
      <c r="W110" s="1"/>
      <c r="X110" s="1"/>
      <c r="Y110" s="1"/>
    </row>
    <row r="111" spans="1:25" ht="14" x14ac:dyDescent="0.3">
      <c r="A111" s="8"/>
      <c r="B111" s="188" t="s">
        <v>165</v>
      </c>
      <c r="C111" s="189"/>
      <c r="D111" s="294"/>
      <c r="E111" s="617">
        <f>E11+E20+E38+E41+E44+E47+E50+E53+E56+E59+E62+E77+E86+E92+E17+E23</f>
        <v>2603699914</v>
      </c>
      <c r="F111" s="617">
        <f t="shared" ref="F111:I111" si="7">F11+F20+F38+F41+F44+F47+F50+F53+F56+F59+F62+F77+F86+F92+F17+F23</f>
        <v>0</v>
      </c>
      <c r="G111" s="617">
        <f t="shared" si="7"/>
        <v>0</v>
      </c>
      <c r="H111" s="617">
        <f t="shared" si="7"/>
        <v>23100000</v>
      </c>
      <c r="I111" s="617">
        <f t="shared" si="7"/>
        <v>2626799914</v>
      </c>
      <c r="J111" s="87"/>
      <c r="K111" s="394"/>
      <c r="L111" s="394"/>
      <c r="M111" s="394"/>
      <c r="N111" s="67"/>
      <c r="O111" s="67"/>
      <c r="P111" s="67"/>
      <c r="Q111" s="67"/>
      <c r="R111" s="67"/>
      <c r="T111" s="1"/>
      <c r="U111" s="1"/>
      <c r="V111" s="1"/>
      <c r="W111" s="1"/>
      <c r="X111" s="1"/>
      <c r="Y111" s="1"/>
    </row>
    <row r="112" spans="1:25" ht="14.5" thickBot="1" x14ac:dyDescent="0.35">
      <c r="A112" s="8"/>
      <c r="B112" s="190" t="s">
        <v>86</v>
      </c>
      <c r="C112" s="191"/>
      <c r="D112" s="191" t="s">
        <v>988</v>
      </c>
      <c r="E112" s="764">
        <f>E109-E104-E101-E98-E95-E92-E86-E83-E80-E89</f>
        <v>3933980158</v>
      </c>
      <c r="F112" s="764">
        <f t="shared" ref="F112:I112" si="8">F109-F104-F101-F98-F95-F92-F86-F83-F80-F89</f>
        <v>670989244</v>
      </c>
      <c r="G112" s="764">
        <f t="shared" si="8"/>
        <v>150000000</v>
      </c>
      <c r="H112" s="764">
        <f t="shared" si="8"/>
        <v>23100000</v>
      </c>
      <c r="I112" s="764">
        <f t="shared" si="8"/>
        <v>4778069402</v>
      </c>
      <c r="J112" s="87"/>
      <c r="K112" s="394"/>
      <c r="L112" s="394"/>
      <c r="M112" s="394"/>
      <c r="N112" s="67"/>
      <c r="O112" s="67"/>
      <c r="P112" s="67"/>
      <c r="Q112" s="67"/>
      <c r="R112" s="67"/>
      <c r="T112" s="1"/>
      <c r="U112" s="1"/>
      <c r="V112" s="1"/>
      <c r="W112" s="1"/>
      <c r="X112" s="1"/>
      <c r="Y112" s="1"/>
    </row>
    <row r="113" spans="1:25" s="390" customFormat="1" x14ac:dyDescent="0.25">
      <c r="B113" s="392"/>
      <c r="C113" s="392"/>
      <c r="D113" s="392"/>
      <c r="E113" s="394" t="s">
        <v>751</v>
      </c>
      <c r="F113" s="394" t="s">
        <v>751</v>
      </c>
      <c r="G113" s="392"/>
      <c r="H113" s="392"/>
      <c r="I113" s="905"/>
      <c r="K113" s="392"/>
      <c r="L113" s="392"/>
      <c r="M113" s="392"/>
      <c r="N113" s="392"/>
      <c r="O113" s="392"/>
      <c r="P113" s="392"/>
      <c r="Q113" s="392"/>
      <c r="R113" s="392"/>
      <c r="S113" s="392"/>
      <c r="T113" s="392"/>
      <c r="U113" s="392"/>
      <c r="V113" s="392"/>
      <c r="W113" s="392"/>
      <c r="X113" s="392"/>
      <c r="Y113" s="392"/>
    </row>
    <row r="114" spans="1:25" s="390" customFormat="1" x14ac:dyDescent="0.25">
      <c r="B114" s="392"/>
      <c r="C114" s="392"/>
      <c r="D114" s="392"/>
      <c r="E114" s="394"/>
      <c r="F114" s="394"/>
      <c r="G114" s="394"/>
      <c r="H114" s="394"/>
      <c r="I114" s="394"/>
      <c r="K114" s="392"/>
      <c r="L114" s="394"/>
      <c r="M114" s="392"/>
      <c r="N114" s="392"/>
      <c r="O114" s="392"/>
      <c r="P114" s="392"/>
      <c r="Q114" s="392"/>
      <c r="R114" s="392"/>
      <c r="S114" s="392"/>
      <c r="T114" s="392"/>
      <c r="U114" s="392"/>
      <c r="V114" s="392"/>
      <c r="W114" s="392"/>
      <c r="X114" s="392"/>
      <c r="Y114" s="392"/>
    </row>
    <row r="115" spans="1:25" s="390" customFormat="1" x14ac:dyDescent="0.25">
      <c r="B115" s="392"/>
      <c r="C115" s="392"/>
      <c r="D115" s="392"/>
      <c r="E115" s="394"/>
      <c r="F115" s="394"/>
      <c r="G115" s="392" t="s">
        <v>1043</v>
      </c>
      <c r="H115" s="392" t="s">
        <v>157</v>
      </c>
      <c r="I115" s="394">
        <f>I107-I91-I85</f>
        <v>2543232864</v>
      </c>
      <c r="K115" s="394"/>
      <c r="L115" s="394"/>
      <c r="M115" s="392"/>
      <c r="N115" s="392"/>
      <c r="O115" s="392"/>
      <c r="P115" s="392"/>
      <c r="Q115" s="392"/>
      <c r="R115" s="392"/>
      <c r="S115" s="392"/>
      <c r="T115" s="392"/>
      <c r="U115" s="392"/>
      <c r="V115" s="392"/>
      <c r="W115" s="392"/>
      <c r="X115" s="392"/>
      <c r="Y115" s="392"/>
    </row>
    <row r="116" spans="1:25" s="390" customFormat="1" x14ac:dyDescent="0.25">
      <c r="B116" s="392"/>
      <c r="C116" s="392"/>
      <c r="D116" s="392"/>
      <c r="E116" s="394"/>
      <c r="F116" s="394"/>
      <c r="G116" s="392"/>
      <c r="H116" s="392" t="s">
        <v>158</v>
      </c>
      <c r="I116" s="394">
        <f>I106-I82-I79</f>
        <v>1620282411</v>
      </c>
      <c r="K116" s="394"/>
      <c r="L116" s="392"/>
      <c r="M116" s="392"/>
      <c r="N116" s="392"/>
      <c r="O116" s="392"/>
      <c r="P116" s="392"/>
      <c r="Q116" s="392"/>
      <c r="R116" s="392"/>
      <c r="S116" s="392"/>
      <c r="T116" s="392"/>
      <c r="U116" s="392"/>
      <c r="V116" s="392"/>
      <c r="W116" s="392"/>
      <c r="X116" s="392"/>
      <c r="Y116" s="392"/>
    </row>
    <row r="117" spans="1:25" s="390" customFormat="1" x14ac:dyDescent="0.25">
      <c r="B117" s="392"/>
      <c r="C117" s="392"/>
      <c r="D117" s="392"/>
      <c r="E117" s="394"/>
      <c r="F117" s="394"/>
      <c r="G117" s="392"/>
      <c r="H117" s="392"/>
      <c r="I117" s="394">
        <f>SUM(I115:I116)</f>
        <v>4163515275</v>
      </c>
      <c r="K117" s="394"/>
      <c r="L117" s="392"/>
      <c r="M117" s="392"/>
      <c r="N117" s="392"/>
      <c r="O117" s="392"/>
      <c r="P117" s="392"/>
      <c r="Q117" s="392"/>
      <c r="R117" s="392"/>
      <c r="S117" s="392"/>
      <c r="T117" s="392"/>
      <c r="U117" s="392"/>
      <c r="V117" s="392"/>
      <c r="W117" s="392"/>
      <c r="X117" s="392"/>
      <c r="Y117" s="392"/>
    </row>
    <row r="118" spans="1:25" s="390" customFormat="1" x14ac:dyDescent="0.25">
      <c r="B118" s="392"/>
      <c r="C118" s="392"/>
      <c r="D118" s="392"/>
      <c r="E118" s="394"/>
      <c r="F118" s="394"/>
      <c r="G118" s="394"/>
      <c r="H118" s="394"/>
      <c r="I118" s="392"/>
      <c r="K118" s="392"/>
      <c r="L118" s="392"/>
      <c r="M118" s="392"/>
      <c r="N118" s="392"/>
      <c r="O118" s="392"/>
      <c r="P118" s="392"/>
      <c r="Q118" s="392"/>
      <c r="R118" s="392"/>
      <c r="S118" s="392"/>
      <c r="T118" s="392"/>
      <c r="U118" s="392"/>
      <c r="V118" s="392"/>
      <c r="W118" s="392"/>
      <c r="X118" s="392"/>
      <c r="Y118" s="392"/>
    </row>
    <row r="119" spans="1:25" s="390" customFormat="1" x14ac:dyDescent="0.25">
      <c r="B119" s="392"/>
      <c r="C119" s="392"/>
      <c r="D119" s="392"/>
      <c r="E119" s="394"/>
      <c r="F119" s="394"/>
      <c r="G119" s="392" t="s">
        <v>1055</v>
      </c>
      <c r="H119" s="392" t="s">
        <v>157</v>
      </c>
      <c r="I119" s="394">
        <f>I111-I92-I86</f>
        <v>2624050364</v>
      </c>
      <c r="K119" s="392"/>
      <c r="L119" s="392"/>
      <c r="M119" s="392"/>
      <c r="N119" s="392"/>
      <c r="O119" s="392"/>
      <c r="P119" s="392"/>
      <c r="Q119" s="392"/>
      <c r="R119" s="392"/>
      <c r="S119" s="392"/>
      <c r="T119" s="392"/>
      <c r="U119" s="392"/>
      <c r="V119" s="392"/>
      <c r="W119" s="392"/>
      <c r="X119" s="392"/>
      <c r="Y119" s="392"/>
    </row>
    <row r="120" spans="1:25" s="390" customFormat="1" x14ac:dyDescent="0.25">
      <c r="B120" s="392"/>
      <c r="C120" s="392"/>
      <c r="D120" s="392"/>
      <c r="E120" s="394"/>
      <c r="F120" s="394"/>
      <c r="G120" s="392"/>
      <c r="H120" s="392" t="s">
        <v>158</v>
      </c>
      <c r="I120" s="394">
        <f>I110-I104-I101-I98-I95-I83-I80-I89</f>
        <v>2154019038</v>
      </c>
      <c r="K120" s="392"/>
      <c r="L120" s="392"/>
      <c r="M120" s="392"/>
      <c r="N120" s="392"/>
      <c r="O120" s="392"/>
      <c r="P120" s="392"/>
      <c r="Q120" s="392"/>
      <c r="R120" s="392"/>
      <c r="S120" s="392"/>
      <c r="T120" s="392"/>
      <c r="U120" s="392"/>
      <c r="V120" s="392"/>
      <c r="W120" s="392"/>
      <c r="X120" s="392"/>
      <c r="Y120" s="392"/>
    </row>
    <row r="121" spans="1:25" s="390" customFormat="1" ht="12" customHeight="1" x14ac:dyDescent="0.25">
      <c r="B121" s="392"/>
      <c r="C121" s="392"/>
      <c r="D121" s="392"/>
      <c r="E121" s="394"/>
      <c r="F121" s="394"/>
      <c r="G121" s="392"/>
      <c r="H121" s="392"/>
      <c r="I121" s="394">
        <f>SUM(I119:I120)</f>
        <v>4778069402</v>
      </c>
      <c r="K121" s="392"/>
      <c r="L121" s="392"/>
      <c r="M121" s="392"/>
      <c r="N121" s="392"/>
      <c r="O121" s="392"/>
      <c r="P121" s="392"/>
      <c r="Q121" s="392"/>
      <c r="R121" s="392"/>
      <c r="S121" s="392"/>
      <c r="T121" s="392"/>
      <c r="U121" s="392"/>
      <c r="V121" s="392"/>
      <c r="W121" s="392"/>
      <c r="X121" s="392"/>
      <c r="Y121" s="392"/>
    </row>
    <row r="122" spans="1:25" s="390" customFormat="1" x14ac:dyDescent="0.25">
      <c r="B122" s="392"/>
      <c r="C122" s="392"/>
      <c r="D122" s="392"/>
      <c r="E122" s="394"/>
      <c r="F122" s="394"/>
      <c r="G122" s="392"/>
      <c r="H122" s="392"/>
      <c r="I122" s="392"/>
      <c r="K122" s="392"/>
      <c r="L122" s="392"/>
      <c r="M122" s="392"/>
      <c r="N122" s="392"/>
      <c r="O122" s="392"/>
      <c r="P122" s="392"/>
      <c r="Q122" s="392"/>
      <c r="R122" s="392"/>
      <c r="S122" s="392"/>
      <c r="T122" s="392"/>
      <c r="U122" s="392"/>
      <c r="V122" s="392"/>
      <c r="W122" s="392"/>
      <c r="X122" s="392"/>
      <c r="Y122" s="392"/>
    </row>
    <row r="123" spans="1:25" s="8" customFormat="1" x14ac:dyDescent="0.25">
      <c r="B123" s="67"/>
      <c r="C123" s="67"/>
      <c r="D123" s="67"/>
      <c r="E123" s="288"/>
      <c r="F123" s="288"/>
      <c r="G123" s="67"/>
      <c r="H123" s="67"/>
      <c r="I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</row>
    <row r="124" spans="1:25" s="8" customFormat="1" x14ac:dyDescent="0.25">
      <c r="B124" s="67"/>
      <c r="C124" s="67"/>
      <c r="D124" s="67"/>
      <c r="E124" s="67"/>
      <c r="F124" s="67"/>
      <c r="G124" s="67"/>
      <c r="H124" s="67"/>
      <c r="I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</row>
    <row r="125" spans="1:25" s="8" customFormat="1" x14ac:dyDescent="0.25">
      <c r="B125" s="67"/>
      <c r="C125" s="67"/>
      <c r="D125" s="67"/>
      <c r="E125" s="67"/>
      <c r="F125" s="67"/>
      <c r="G125" s="67"/>
      <c r="H125" s="67"/>
      <c r="I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</row>
    <row r="126" spans="1:25" x14ac:dyDescent="0.25">
      <c r="A126" s="8"/>
      <c r="B126" s="67"/>
      <c r="C126" s="67"/>
      <c r="D126" s="67"/>
      <c r="E126" s="67"/>
      <c r="F126" s="67"/>
      <c r="G126" s="67"/>
      <c r="H126" s="67"/>
      <c r="I126" s="67"/>
      <c r="J126" s="8"/>
      <c r="N126" s="67"/>
      <c r="O126" s="67"/>
      <c r="P126" s="67"/>
      <c r="Q126" s="67"/>
      <c r="R126" s="67"/>
      <c r="T126" s="1"/>
      <c r="U126" s="1"/>
      <c r="V126" s="1"/>
      <c r="W126" s="1"/>
      <c r="X126" s="1"/>
      <c r="Y126" s="1"/>
    </row>
    <row r="127" spans="1:25" x14ac:dyDescent="0.25">
      <c r="A127" s="8"/>
      <c r="B127" s="67"/>
      <c r="C127" s="67"/>
      <c r="D127" s="67"/>
      <c r="E127" s="67"/>
      <c r="F127" s="67"/>
      <c r="G127" s="67"/>
      <c r="H127" s="67"/>
      <c r="I127" s="67"/>
      <c r="J127" s="8"/>
      <c r="N127" s="67"/>
      <c r="O127" s="67"/>
      <c r="P127" s="67"/>
      <c r="Q127" s="67"/>
      <c r="R127" s="67"/>
      <c r="T127" s="1"/>
      <c r="U127" s="1"/>
      <c r="V127" s="1"/>
      <c r="W127" s="1"/>
      <c r="X127" s="1"/>
      <c r="Y127" s="1"/>
    </row>
    <row r="128" spans="1:25" x14ac:dyDescent="0.25">
      <c r="A128" s="8"/>
      <c r="B128" s="67"/>
      <c r="C128" s="67"/>
      <c r="D128" s="67"/>
      <c r="E128" s="67"/>
      <c r="F128" s="67"/>
      <c r="G128" s="67"/>
      <c r="H128" s="67"/>
      <c r="I128" s="67"/>
      <c r="J128" s="8"/>
      <c r="N128" s="67"/>
      <c r="O128" s="67"/>
      <c r="P128" s="67"/>
      <c r="Q128" s="67"/>
      <c r="R128" s="67"/>
      <c r="T128" s="1"/>
      <c r="U128" s="1"/>
      <c r="V128" s="1"/>
      <c r="W128" s="1"/>
      <c r="X128" s="1"/>
      <c r="Y128" s="1"/>
    </row>
    <row r="129" spans="1:18" x14ac:dyDescent="0.25">
      <c r="A129" s="8"/>
      <c r="B129" s="67"/>
      <c r="C129" s="67"/>
      <c r="D129" s="67"/>
      <c r="E129" s="67"/>
      <c r="F129" s="67"/>
      <c r="G129" s="67"/>
      <c r="H129" s="67"/>
      <c r="I129" s="67"/>
      <c r="J129" s="8"/>
      <c r="N129" s="67"/>
      <c r="O129" s="67"/>
      <c r="P129" s="67"/>
      <c r="Q129" s="67"/>
      <c r="R129" s="67"/>
    </row>
    <row r="130" spans="1:18" x14ac:dyDescent="0.25">
      <c r="A130" s="8"/>
      <c r="B130" s="67"/>
      <c r="C130" s="67"/>
      <c r="D130" s="67"/>
      <c r="E130" s="67"/>
      <c r="F130" s="67"/>
      <c r="G130" s="67"/>
      <c r="H130" s="67"/>
      <c r="I130" s="67"/>
      <c r="J130" s="8"/>
      <c r="N130" s="67"/>
      <c r="O130" s="67"/>
      <c r="P130" s="67"/>
      <c r="Q130" s="67"/>
      <c r="R130" s="67"/>
    </row>
    <row r="131" spans="1:18" x14ac:dyDescent="0.25">
      <c r="A131" s="8"/>
      <c r="B131" s="67"/>
      <c r="C131" s="67"/>
      <c r="D131" s="67"/>
      <c r="E131" s="67"/>
      <c r="F131" s="67"/>
      <c r="G131" s="67"/>
      <c r="H131" s="67"/>
      <c r="I131" s="67"/>
      <c r="J131" s="8"/>
      <c r="N131" s="67"/>
      <c r="O131" s="67"/>
      <c r="P131" s="67"/>
      <c r="Q131" s="67"/>
      <c r="R131" s="67"/>
    </row>
    <row r="132" spans="1:18" x14ac:dyDescent="0.25">
      <c r="A132" s="8"/>
      <c r="B132" s="67"/>
      <c r="C132" s="67"/>
      <c r="D132" s="67"/>
      <c r="E132" s="67"/>
      <c r="F132" s="67"/>
      <c r="G132" s="67"/>
      <c r="H132" s="67"/>
      <c r="I132" s="67"/>
      <c r="J132" s="8"/>
      <c r="N132" s="67"/>
      <c r="O132" s="67"/>
      <c r="P132" s="67"/>
      <c r="Q132" s="67"/>
      <c r="R132" s="67"/>
    </row>
    <row r="133" spans="1:18" x14ac:dyDescent="0.25">
      <c r="A133" s="8"/>
      <c r="B133" s="67"/>
      <c r="C133" s="67"/>
      <c r="D133" s="67"/>
      <c r="E133" s="67"/>
      <c r="F133" s="67"/>
      <c r="G133" s="67"/>
      <c r="H133" s="67"/>
      <c r="I133" s="67"/>
      <c r="J133" s="8"/>
      <c r="N133" s="67"/>
      <c r="O133" s="67"/>
      <c r="P133" s="67"/>
      <c r="Q133" s="67"/>
      <c r="R133" s="67"/>
    </row>
    <row r="134" spans="1:18" x14ac:dyDescent="0.25">
      <c r="A134" s="8"/>
      <c r="B134" s="67"/>
      <c r="C134" s="67"/>
      <c r="D134" s="67"/>
      <c r="E134" s="67"/>
      <c r="F134" s="67"/>
      <c r="G134" s="67"/>
      <c r="H134" s="67"/>
      <c r="I134" s="67"/>
      <c r="J134" s="8"/>
      <c r="N134" s="67"/>
      <c r="O134" s="67"/>
      <c r="P134" s="67"/>
      <c r="Q134" s="67"/>
      <c r="R134" s="67"/>
    </row>
    <row r="135" spans="1:18" x14ac:dyDescent="0.25">
      <c r="A135" s="8"/>
      <c r="B135" s="67"/>
      <c r="C135" s="67"/>
      <c r="D135" s="67"/>
      <c r="E135" s="67"/>
      <c r="F135" s="67"/>
      <c r="G135" s="67"/>
      <c r="H135" s="67"/>
      <c r="I135" s="67"/>
      <c r="J135" s="8"/>
      <c r="N135" s="67"/>
      <c r="O135" s="67"/>
      <c r="P135" s="67"/>
      <c r="Q135" s="67"/>
      <c r="R135" s="67"/>
    </row>
    <row r="136" spans="1:18" x14ac:dyDescent="0.25">
      <c r="A136" s="8"/>
      <c r="B136" s="67"/>
      <c r="C136" s="67"/>
      <c r="D136" s="67"/>
      <c r="E136" s="67"/>
      <c r="F136" s="67"/>
      <c r="G136" s="67"/>
      <c r="H136" s="67"/>
      <c r="I136" s="67"/>
      <c r="J136" s="8"/>
      <c r="N136" s="67"/>
      <c r="O136" s="67"/>
      <c r="P136" s="67"/>
      <c r="Q136" s="67"/>
      <c r="R136" s="67"/>
    </row>
    <row r="137" spans="1:18" x14ac:dyDescent="0.25">
      <c r="A137" s="8"/>
      <c r="B137" s="67"/>
      <c r="C137" s="67"/>
      <c r="D137" s="67"/>
      <c r="E137" s="67"/>
      <c r="F137" s="67"/>
      <c r="G137" s="67"/>
      <c r="H137" s="67"/>
      <c r="I137" s="67"/>
      <c r="J137" s="8"/>
      <c r="N137" s="67"/>
      <c r="O137" s="67"/>
      <c r="P137" s="67"/>
      <c r="Q137" s="67"/>
      <c r="R137" s="67"/>
    </row>
    <row r="138" spans="1:18" x14ac:dyDescent="0.25">
      <c r="A138" s="8"/>
      <c r="B138" s="67"/>
      <c r="C138" s="67"/>
      <c r="D138" s="67"/>
      <c r="E138" s="67"/>
      <c r="F138" s="67"/>
      <c r="G138" s="67"/>
      <c r="H138" s="67"/>
      <c r="I138" s="67"/>
      <c r="J138" s="8"/>
      <c r="N138" s="67"/>
      <c r="O138" s="67"/>
      <c r="P138" s="67"/>
      <c r="Q138" s="67"/>
      <c r="R138" s="67"/>
    </row>
    <row r="139" spans="1:18" x14ac:dyDescent="0.25">
      <c r="A139" s="8"/>
      <c r="B139" s="67"/>
      <c r="C139" s="67"/>
      <c r="D139" s="67"/>
      <c r="E139" s="67"/>
      <c r="F139" s="67"/>
      <c r="G139" s="67"/>
      <c r="H139" s="67"/>
      <c r="I139" s="67"/>
      <c r="J139" s="8"/>
      <c r="N139" s="67"/>
      <c r="O139" s="67"/>
      <c r="P139" s="67"/>
      <c r="Q139" s="67"/>
      <c r="R139" s="67"/>
    </row>
    <row r="140" spans="1:18" x14ac:dyDescent="0.25">
      <c r="A140" s="8"/>
      <c r="B140" s="67"/>
      <c r="C140" s="67"/>
      <c r="D140" s="67"/>
      <c r="E140" s="67"/>
      <c r="F140" s="67"/>
      <c r="G140" s="67"/>
      <c r="H140" s="67"/>
      <c r="I140" s="67"/>
      <c r="J140" s="8"/>
      <c r="N140" s="67"/>
      <c r="O140" s="67"/>
      <c r="P140" s="67"/>
      <c r="Q140" s="67"/>
      <c r="R140" s="67"/>
    </row>
    <row r="141" spans="1:18" x14ac:dyDescent="0.25">
      <c r="A141" s="8"/>
      <c r="B141" s="67"/>
      <c r="C141" s="67"/>
      <c r="D141" s="67"/>
      <c r="E141" s="67"/>
      <c r="F141" s="67"/>
      <c r="G141" s="67"/>
      <c r="H141" s="67"/>
      <c r="I141" s="67"/>
      <c r="J141" s="8"/>
      <c r="N141" s="67"/>
      <c r="O141" s="67"/>
      <c r="P141" s="67"/>
      <c r="Q141" s="67"/>
      <c r="R141" s="67"/>
    </row>
  </sheetData>
  <mergeCells count="34">
    <mergeCell ref="H2:I2"/>
    <mergeCell ref="B3:D5"/>
    <mergeCell ref="E3:E5"/>
    <mergeCell ref="F3:F5"/>
    <mergeCell ref="G3:G5"/>
    <mergeCell ref="H3:H5"/>
    <mergeCell ref="I3:I5"/>
    <mergeCell ref="B96:C97"/>
    <mergeCell ref="B99:C100"/>
    <mergeCell ref="B69:D69"/>
    <mergeCell ref="B21:D21"/>
    <mergeCell ref="B90:D90"/>
    <mergeCell ref="B54:D54"/>
    <mergeCell ref="B72:D72"/>
    <mergeCell ref="B51:D51"/>
    <mergeCell ref="B84:D84"/>
    <mergeCell ref="B78:D78"/>
    <mergeCell ref="B81:D81"/>
    <mergeCell ref="B102:C103"/>
    <mergeCell ref="B6:D6"/>
    <mergeCell ref="B9:D9"/>
    <mergeCell ref="B33:D33"/>
    <mergeCell ref="B30:D30"/>
    <mergeCell ref="B12:D12"/>
    <mergeCell ref="B27:D27"/>
    <mergeCell ref="B36:D36"/>
    <mergeCell ref="B75:D75"/>
    <mergeCell ref="B66:D66"/>
    <mergeCell ref="B63:D63"/>
    <mergeCell ref="B39:D39"/>
    <mergeCell ref="B42:D42"/>
    <mergeCell ref="B87:D87"/>
    <mergeCell ref="B15:D15"/>
    <mergeCell ref="B93:C94"/>
  </mergeCells>
  <pageMargins left="0.19685039370078741" right="0.19685039370078741" top="0.39370078740157483" bottom="0.39370078740157483" header="0" footer="0"/>
  <pageSetup paperSize="8" orientation="portrait" r:id="rId1"/>
  <headerFooter alignWithMargins="0"/>
  <rowBreaks count="1" manualBreakCount="1">
    <brk id="56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AE899-3B9B-4AC7-AE50-E4B7D2EE1102}">
  <sheetPr>
    <tabColor theme="5" tint="0.59999389629810485"/>
  </sheetPr>
  <dimension ref="A1:Z73"/>
  <sheetViews>
    <sheetView topLeftCell="B43" zoomScale="120" zoomScaleNormal="120" workbookViewId="0">
      <selection activeCell="E55" sqref="E55:E57"/>
    </sheetView>
  </sheetViews>
  <sheetFormatPr defaultColWidth="9.1796875" defaultRowHeight="12.5" x14ac:dyDescent="0.25"/>
  <cols>
    <col min="1" max="1" width="35.453125" style="490" hidden="1" customWidth="1"/>
    <col min="2" max="2" width="41.54296875" style="489" customWidth="1"/>
    <col min="3" max="3" width="0.1796875" style="489" customWidth="1"/>
    <col min="4" max="4" width="17.1796875" style="491" bestFit="1" customWidth="1"/>
    <col min="5" max="5" width="21.08984375" style="753" bestFit="1" customWidth="1"/>
    <col min="6" max="6" width="17" style="804" customWidth="1"/>
    <col min="7" max="7" width="13.81640625" style="491" bestFit="1" customWidth="1"/>
    <col min="8" max="9" width="9.1796875" style="491"/>
    <col min="10" max="10" width="13.81640625" style="491" bestFit="1" customWidth="1"/>
    <col min="11" max="26" width="9.1796875" style="491"/>
    <col min="27" max="16384" width="9.1796875" style="490"/>
  </cols>
  <sheetData>
    <row r="1" spans="1:6" ht="13" x14ac:dyDescent="0.3">
      <c r="A1" s="487"/>
      <c r="B1" s="488"/>
      <c r="D1" s="491" t="s">
        <v>848</v>
      </c>
    </row>
    <row r="2" spans="1:6" ht="13" x14ac:dyDescent="0.3">
      <c r="A2" s="491"/>
      <c r="B2" s="492" t="s">
        <v>816</v>
      </c>
      <c r="C2" s="493"/>
      <c r="D2" s="803" t="s">
        <v>787</v>
      </c>
    </row>
    <row r="3" spans="1:6" ht="13" x14ac:dyDescent="0.3">
      <c r="A3" s="1139" t="s">
        <v>817</v>
      </c>
      <c r="B3" s="1139"/>
      <c r="D3" s="870" t="s">
        <v>1058</v>
      </c>
    </row>
    <row r="4" spans="1:6" ht="53.5" customHeight="1" thickBot="1" x14ac:dyDescent="0.3">
      <c r="A4" s="494" t="s">
        <v>604</v>
      </c>
      <c r="B4" s="495" t="s">
        <v>575</v>
      </c>
      <c r="C4" s="496" t="s">
        <v>722</v>
      </c>
      <c r="D4" s="496" t="s">
        <v>1059</v>
      </c>
      <c r="E4" s="847" t="s">
        <v>1060</v>
      </c>
    </row>
    <row r="5" spans="1:6" ht="14" x14ac:dyDescent="0.3">
      <c r="A5" s="497" t="s">
        <v>605</v>
      </c>
      <c r="B5" s="498" t="s">
        <v>576</v>
      </c>
      <c r="C5" s="426">
        <v>5537000</v>
      </c>
      <c r="D5" s="851">
        <f>338640000+35754740</f>
        <v>374394740</v>
      </c>
      <c r="E5" s="848">
        <v>374394740</v>
      </c>
    </row>
    <row r="6" spans="1:6" ht="14" x14ac:dyDescent="0.3">
      <c r="A6" s="499" t="s">
        <v>605</v>
      </c>
      <c r="B6" s="500" t="s">
        <v>577</v>
      </c>
      <c r="C6" s="426"/>
      <c r="D6" s="851"/>
      <c r="E6" s="848"/>
    </row>
    <row r="7" spans="1:6" ht="14" x14ac:dyDescent="0.3">
      <c r="A7" s="499" t="s">
        <v>606</v>
      </c>
      <c r="B7" s="498" t="s">
        <v>578</v>
      </c>
      <c r="C7" s="427" t="s">
        <v>723</v>
      </c>
      <c r="D7" s="851">
        <v>43076800</v>
      </c>
      <c r="E7" s="848">
        <v>43076800</v>
      </c>
    </row>
    <row r="8" spans="1:6" ht="14" x14ac:dyDescent="0.3">
      <c r="A8" s="499" t="s">
        <v>606</v>
      </c>
      <c r="B8" s="498" t="s">
        <v>579</v>
      </c>
      <c r="C8" s="426"/>
      <c r="D8" s="851">
        <v>99790800</v>
      </c>
      <c r="E8" s="848">
        <v>99790800</v>
      </c>
    </row>
    <row r="9" spans="1:6" ht="14" x14ac:dyDescent="0.3">
      <c r="A9" s="499"/>
      <c r="B9" s="498" t="s">
        <v>818</v>
      </c>
      <c r="C9" s="426"/>
      <c r="D9" s="851">
        <f>104959184-104959184</f>
        <v>0</v>
      </c>
      <c r="E9" s="848">
        <v>0</v>
      </c>
    </row>
    <row r="10" spans="1:6" ht="14" x14ac:dyDescent="0.3">
      <c r="A10" s="499" t="s">
        <v>606</v>
      </c>
      <c r="B10" s="498" t="s">
        <v>819</v>
      </c>
      <c r="C10" s="426"/>
      <c r="D10" s="851">
        <v>24774565</v>
      </c>
      <c r="E10" s="848">
        <v>24774565</v>
      </c>
    </row>
    <row r="11" spans="1:6" ht="14" x14ac:dyDescent="0.3">
      <c r="A11" s="499" t="s">
        <v>606</v>
      </c>
      <c r="B11" s="498" t="s">
        <v>580</v>
      </c>
      <c r="C11" s="426"/>
      <c r="D11" s="851">
        <v>40020274</v>
      </c>
      <c r="E11" s="848">
        <v>40020274</v>
      </c>
    </row>
    <row r="12" spans="1:6" ht="14" x14ac:dyDescent="0.3">
      <c r="A12" s="499" t="s">
        <v>605</v>
      </c>
      <c r="B12" s="498" t="s">
        <v>581</v>
      </c>
      <c r="C12" s="427" t="s">
        <v>724</v>
      </c>
      <c r="D12" s="851">
        <v>89471200</v>
      </c>
      <c r="E12" s="848">
        <v>89471200</v>
      </c>
      <c r="F12" s="805"/>
    </row>
    <row r="13" spans="1:6" ht="14" x14ac:dyDescent="0.3">
      <c r="A13" s="499" t="s">
        <v>605</v>
      </c>
      <c r="B13" s="498" t="s">
        <v>582</v>
      </c>
      <c r="C13" s="427" t="s">
        <v>725</v>
      </c>
      <c r="D13" s="851">
        <v>68850</v>
      </c>
      <c r="E13" s="848">
        <v>68850</v>
      </c>
    </row>
    <row r="14" spans="1:6" ht="25.5" customHeight="1" x14ac:dyDescent="0.3">
      <c r="A14" s="499"/>
      <c r="B14" s="501" t="s">
        <v>583</v>
      </c>
      <c r="C14" s="428"/>
      <c r="D14" s="852">
        <f>SUM(D5:D13)</f>
        <v>671597229</v>
      </c>
      <c r="E14" s="858">
        <f>SUM(E5:E13)</f>
        <v>671597229</v>
      </c>
      <c r="F14" s="805"/>
    </row>
    <row r="15" spans="1:6" ht="26.25" customHeight="1" x14ac:dyDescent="0.3">
      <c r="A15" s="502" t="s">
        <v>607</v>
      </c>
      <c r="B15" s="503" t="s">
        <v>820</v>
      </c>
      <c r="C15" s="429" t="s">
        <v>726</v>
      </c>
      <c r="D15" s="851">
        <f>560400023+274102000+11961580+52514000+224056377+4782420</f>
        <v>1127816400</v>
      </c>
      <c r="E15" s="848">
        <v>1127816400</v>
      </c>
    </row>
    <row r="16" spans="1:6" ht="18" customHeight="1" x14ac:dyDescent="0.3">
      <c r="A16" s="502" t="s">
        <v>607</v>
      </c>
      <c r="B16" s="504" t="s">
        <v>584</v>
      </c>
      <c r="C16" s="429" t="s">
        <v>727</v>
      </c>
      <c r="D16" s="851">
        <f>136863000+35338626</f>
        <v>172201626</v>
      </c>
      <c r="E16" s="848">
        <v>172201626</v>
      </c>
    </row>
    <row r="17" spans="1:7" ht="17.149999999999999" customHeight="1" x14ac:dyDescent="0.3">
      <c r="A17" s="502" t="s">
        <v>607</v>
      </c>
      <c r="B17" s="505" t="s">
        <v>585</v>
      </c>
      <c r="C17" s="506">
        <v>811600</v>
      </c>
      <c r="D17" s="851">
        <f>622000+274000</f>
        <v>896000</v>
      </c>
      <c r="E17" s="848">
        <v>896000</v>
      </c>
    </row>
    <row r="18" spans="1:7" ht="28" customHeight="1" x14ac:dyDescent="0.3">
      <c r="A18" s="502" t="s">
        <v>607</v>
      </c>
      <c r="B18" s="503" t="s">
        <v>586</v>
      </c>
      <c r="C18" s="429" t="s">
        <v>728</v>
      </c>
      <c r="D18" s="851">
        <f>17990000+5754000+7105000+2268000</f>
        <v>33117000</v>
      </c>
      <c r="E18" s="848">
        <v>33117000</v>
      </c>
    </row>
    <row r="19" spans="1:7" ht="19.5" customHeight="1" x14ac:dyDescent="0.3">
      <c r="A19" s="502"/>
      <c r="B19" s="503" t="s">
        <v>729</v>
      </c>
      <c r="C19" s="429" t="s">
        <v>730</v>
      </c>
      <c r="D19" s="851">
        <v>0</v>
      </c>
      <c r="E19" s="848">
        <v>0</v>
      </c>
    </row>
    <row r="20" spans="1:7" ht="26" x14ac:dyDescent="0.3">
      <c r="A20" s="502"/>
      <c r="B20" s="507" t="s">
        <v>587</v>
      </c>
      <c r="C20" s="430"/>
      <c r="D20" s="852">
        <f>SUM(D15:D19)</f>
        <v>1334031026</v>
      </c>
      <c r="E20" s="858">
        <f>SUM(E15:E19)</f>
        <v>1334031026</v>
      </c>
      <c r="F20" s="805"/>
      <c r="G20" s="806"/>
    </row>
    <row r="21" spans="1:7" ht="25.5" x14ac:dyDescent="0.3">
      <c r="A21" s="508" t="s">
        <v>608</v>
      </c>
      <c r="B21" s="503" t="s">
        <v>588</v>
      </c>
      <c r="C21" s="426" t="s">
        <v>731</v>
      </c>
      <c r="D21" s="851">
        <f>129602970+28844430</f>
        <v>158447400</v>
      </c>
      <c r="E21" s="848">
        <v>158447400</v>
      </c>
    </row>
    <row r="22" spans="1:7" ht="14" x14ac:dyDescent="0.3">
      <c r="A22" s="508" t="s">
        <v>608</v>
      </c>
      <c r="B22" s="503" t="s">
        <v>589</v>
      </c>
      <c r="C22" s="426"/>
      <c r="D22" s="851">
        <v>0</v>
      </c>
      <c r="E22" s="848">
        <v>0</v>
      </c>
    </row>
    <row r="23" spans="1:7" ht="18" customHeight="1" x14ac:dyDescent="0.3">
      <c r="A23" s="508" t="s">
        <v>608</v>
      </c>
      <c r="B23" s="509" t="s">
        <v>732</v>
      </c>
      <c r="C23" s="510" t="s">
        <v>733</v>
      </c>
      <c r="D23" s="853">
        <v>173757332</v>
      </c>
      <c r="E23" s="864">
        <v>173757332</v>
      </c>
    </row>
    <row r="24" spans="1:7" ht="26" x14ac:dyDescent="0.3">
      <c r="A24" s="508"/>
      <c r="B24" s="507" t="s">
        <v>590</v>
      </c>
      <c r="C24" s="430"/>
      <c r="D24" s="852">
        <f>SUM(D21:D23)</f>
        <v>332204732</v>
      </c>
      <c r="E24" s="858">
        <f>SUM(E21:E23)</f>
        <v>332204732</v>
      </c>
    </row>
    <row r="25" spans="1:7" ht="32.5" customHeight="1" x14ac:dyDescent="0.3">
      <c r="A25" s="508" t="s">
        <v>608</v>
      </c>
      <c r="B25" s="509" t="s">
        <v>734</v>
      </c>
      <c r="C25" s="510" t="s">
        <v>735</v>
      </c>
      <c r="D25" s="853">
        <f>105852600+314437620+92281019+28146180+13455400</f>
        <v>554172819</v>
      </c>
      <c r="E25" s="864">
        <v>554172819</v>
      </c>
    </row>
    <row r="26" spans="1:7" ht="26.5" thickBot="1" x14ac:dyDescent="0.35">
      <c r="A26" s="512"/>
      <c r="B26" s="507" t="s">
        <v>591</v>
      </c>
      <c r="C26" s="430"/>
      <c r="D26" s="854">
        <f>SUM(D25:D25)</f>
        <v>554172819</v>
      </c>
      <c r="E26" s="850">
        <f>SUM(E25)</f>
        <v>554172819</v>
      </c>
    </row>
    <row r="27" spans="1:7" ht="24.75" customHeight="1" thickTop="1" x14ac:dyDescent="0.3">
      <c r="A27" s="513" t="s">
        <v>608</v>
      </c>
      <c r="B27" s="505" t="s">
        <v>821</v>
      </c>
      <c r="C27" s="514" t="s">
        <v>736</v>
      </c>
      <c r="D27" s="855">
        <f>98404800+74952870+11870660+9030000</f>
        <v>194258330</v>
      </c>
      <c r="E27" s="848">
        <v>194258330</v>
      </c>
      <c r="F27" s="805"/>
      <c r="G27" s="860">
        <f>D27+D38</f>
        <v>242066586</v>
      </c>
    </row>
    <row r="28" spans="1:7" ht="14" x14ac:dyDescent="0.3">
      <c r="A28" s="508" t="s">
        <v>608</v>
      </c>
      <c r="B28" s="504" t="s">
        <v>592</v>
      </c>
      <c r="C28" s="426" t="s">
        <v>737</v>
      </c>
      <c r="D28" s="851">
        <f>38355660+2529450</f>
        <v>40885110</v>
      </c>
      <c r="E28" s="848">
        <v>40885110</v>
      </c>
    </row>
    <row r="29" spans="1:7" ht="14" x14ac:dyDescent="0.3">
      <c r="A29" s="508" t="s">
        <v>608</v>
      </c>
      <c r="B29" s="504" t="s">
        <v>593</v>
      </c>
      <c r="C29" s="426" t="s">
        <v>738</v>
      </c>
      <c r="D29" s="851">
        <f>90760800+11069500</f>
        <v>101830300</v>
      </c>
      <c r="E29" s="848">
        <v>101830300</v>
      </c>
    </row>
    <row r="30" spans="1:7" ht="14" x14ac:dyDescent="0.3">
      <c r="A30" s="508" t="s">
        <v>608</v>
      </c>
      <c r="B30" s="504" t="s">
        <v>594</v>
      </c>
      <c r="C30" s="426" t="s">
        <v>739</v>
      </c>
      <c r="D30" s="851">
        <f>13382320+1310400</f>
        <v>14692720</v>
      </c>
      <c r="E30" s="848">
        <v>14692720</v>
      </c>
    </row>
    <row r="31" spans="1:7" ht="15.65" customHeight="1" x14ac:dyDescent="0.3">
      <c r="A31" s="508" t="s">
        <v>608</v>
      </c>
      <c r="B31" s="503" t="s">
        <v>595</v>
      </c>
      <c r="C31" s="429" t="s">
        <v>740</v>
      </c>
      <c r="D31" s="851">
        <f>10989600+10000550+5934330+857180+30872900+1155000+1029000+623700+88200+2267650</f>
        <v>63818110</v>
      </c>
      <c r="E31" s="848">
        <v>63818110</v>
      </c>
    </row>
    <row r="32" spans="1:7" ht="14" x14ac:dyDescent="0.3">
      <c r="A32" s="508" t="s">
        <v>608</v>
      </c>
      <c r="B32" s="504" t="s">
        <v>596</v>
      </c>
      <c r="C32" s="426" t="s">
        <v>741</v>
      </c>
      <c r="D32" s="851">
        <f>14072040+1343520</f>
        <v>15415560</v>
      </c>
      <c r="E32" s="848">
        <v>15415560</v>
      </c>
    </row>
    <row r="33" spans="1:26" ht="14" x14ac:dyDescent="0.3">
      <c r="A33" s="508" t="s">
        <v>608</v>
      </c>
      <c r="B33" s="504" t="s">
        <v>597</v>
      </c>
      <c r="C33" s="426" t="s">
        <v>742</v>
      </c>
      <c r="D33" s="851">
        <f>36121260+3558786</f>
        <v>39680046</v>
      </c>
      <c r="E33" s="848">
        <v>39680046</v>
      </c>
    </row>
    <row r="34" spans="1:26" ht="14" x14ac:dyDescent="0.3">
      <c r="A34" s="508" t="s">
        <v>608</v>
      </c>
      <c r="B34" s="504" t="s">
        <v>822</v>
      </c>
      <c r="C34" s="426" t="s">
        <v>742</v>
      </c>
      <c r="D34" s="851">
        <f>5160180+508398</f>
        <v>5668578</v>
      </c>
      <c r="E34" s="848">
        <v>5668578</v>
      </c>
    </row>
    <row r="35" spans="1:26" ht="38" x14ac:dyDescent="0.3">
      <c r="A35" s="508" t="s">
        <v>608</v>
      </c>
      <c r="B35" s="503" t="s">
        <v>598</v>
      </c>
      <c r="C35" s="426">
        <v>11045900</v>
      </c>
      <c r="D35" s="851">
        <f>12279900+1087000</f>
        <v>13366900</v>
      </c>
      <c r="E35" s="848">
        <v>13366900</v>
      </c>
      <c r="G35" s="806"/>
    </row>
    <row r="36" spans="1:26" ht="14" x14ac:dyDescent="0.3">
      <c r="A36" s="508" t="s">
        <v>608</v>
      </c>
      <c r="B36" s="504" t="s">
        <v>599</v>
      </c>
      <c r="C36" s="426" t="s">
        <v>743</v>
      </c>
      <c r="D36" s="851">
        <f>204796800+27168000</f>
        <v>231964800</v>
      </c>
      <c r="E36" s="848">
        <v>231964800</v>
      </c>
      <c r="G36" s="806"/>
      <c r="J36" s="806"/>
    </row>
    <row r="37" spans="1:26" ht="20.149999999999999" customHeight="1" x14ac:dyDescent="0.3">
      <c r="A37" s="508" t="s">
        <v>608</v>
      </c>
      <c r="B37" s="509" t="s">
        <v>744</v>
      </c>
      <c r="C37" s="511" t="s">
        <v>745</v>
      </c>
      <c r="D37" s="853">
        <v>80690178</v>
      </c>
      <c r="E37" s="864">
        <v>80690178</v>
      </c>
    </row>
    <row r="38" spans="1:26" ht="28.5" customHeight="1" thickBot="1" x14ac:dyDescent="0.35">
      <c r="A38" s="515" t="s">
        <v>608</v>
      </c>
      <c r="B38" s="503" t="s">
        <v>600</v>
      </c>
      <c r="C38" s="429" t="s">
        <v>746</v>
      </c>
      <c r="D38" s="851">
        <f>43532641+4275615</f>
        <v>47808256</v>
      </c>
      <c r="E38" s="848">
        <v>47808256</v>
      </c>
      <c r="G38" s="806"/>
    </row>
    <row r="39" spans="1:26" ht="26.5" thickTop="1" x14ac:dyDescent="0.3">
      <c r="A39" s="512"/>
      <c r="B39" s="507" t="s">
        <v>601</v>
      </c>
      <c r="C39" s="430"/>
      <c r="D39" s="852">
        <f>SUM(D27:D38)</f>
        <v>850078888</v>
      </c>
      <c r="E39" s="858">
        <f>SUM(E27:E38)</f>
        <v>850078888</v>
      </c>
      <c r="F39" s="805"/>
    </row>
    <row r="40" spans="1:26" ht="14" x14ac:dyDescent="0.3">
      <c r="A40" s="862"/>
      <c r="B40" s="503" t="s">
        <v>1133</v>
      </c>
      <c r="C40" s="426"/>
      <c r="D40" s="851">
        <v>0</v>
      </c>
      <c r="E40" s="848">
        <v>78988457</v>
      </c>
      <c r="F40" s="805"/>
    </row>
    <row r="41" spans="1:26" ht="14" x14ac:dyDescent="0.3">
      <c r="A41" s="862"/>
      <c r="B41" s="503" t="s">
        <v>1134</v>
      </c>
      <c r="C41" s="426"/>
      <c r="D41" s="851">
        <v>0</v>
      </c>
      <c r="E41" s="848">
        <v>4198471</v>
      </c>
      <c r="F41" s="805"/>
    </row>
    <row r="42" spans="1:26" ht="14" x14ac:dyDescent="0.3">
      <c r="A42" s="862"/>
      <c r="B42" s="503" t="s">
        <v>1135</v>
      </c>
      <c r="C42" s="426"/>
      <c r="D42" s="851">
        <v>0</v>
      </c>
      <c r="E42" s="848">
        <v>1935366</v>
      </c>
      <c r="F42" s="805"/>
    </row>
    <row r="43" spans="1:26" ht="17.149999999999999" customHeight="1" x14ac:dyDescent="0.3">
      <c r="A43" s="516"/>
      <c r="B43" s="517"/>
      <c r="C43" s="431"/>
      <c r="D43" s="856"/>
      <c r="E43" s="861"/>
    </row>
    <row r="44" spans="1:26" s="519" customFormat="1" ht="27" customHeight="1" x14ac:dyDescent="0.3">
      <c r="A44" s="518" t="s">
        <v>609</v>
      </c>
      <c r="B44" s="505" t="s">
        <v>1139</v>
      </c>
      <c r="C44" s="514" t="s">
        <v>747</v>
      </c>
      <c r="D44" s="855">
        <v>70714202</v>
      </c>
      <c r="E44" s="849">
        <v>70714202</v>
      </c>
      <c r="F44" s="804"/>
      <c r="G44" s="804"/>
      <c r="H44" s="804"/>
      <c r="I44" s="804"/>
      <c r="J44" s="804"/>
      <c r="K44" s="804"/>
      <c r="L44" s="804"/>
      <c r="M44" s="804"/>
      <c r="N44" s="804"/>
      <c r="O44" s="804"/>
      <c r="P44" s="804"/>
      <c r="Q44" s="804"/>
      <c r="R44" s="804"/>
      <c r="S44" s="804"/>
      <c r="T44" s="804"/>
      <c r="U44" s="804"/>
      <c r="V44" s="804"/>
      <c r="W44" s="804"/>
      <c r="X44" s="804"/>
      <c r="Y44" s="804"/>
      <c r="Z44" s="804"/>
    </row>
    <row r="45" spans="1:26" ht="27" customHeight="1" x14ac:dyDescent="0.3">
      <c r="A45" s="516" t="s">
        <v>609</v>
      </c>
      <c r="B45" s="503" t="s">
        <v>1136</v>
      </c>
      <c r="C45" s="429" t="s">
        <v>748</v>
      </c>
      <c r="D45" s="851">
        <f>4000000-4000000</f>
        <v>0</v>
      </c>
      <c r="E45" s="865">
        <v>4000000</v>
      </c>
    </row>
    <row r="46" spans="1:26" ht="31" customHeight="1" x14ac:dyDescent="0.35">
      <c r="A46" s="516"/>
      <c r="B46" s="866" t="s">
        <v>1137</v>
      </c>
      <c r="C46" s="429"/>
      <c r="D46" s="867">
        <f>55181184-55181184</f>
        <v>0</v>
      </c>
      <c r="E46" s="865">
        <f>48340228+411066+11776956+100146</f>
        <v>60628396</v>
      </c>
    </row>
    <row r="47" spans="1:26" ht="14" x14ac:dyDescent="0.3">
      <c r="A47" s="516"/>
      <c r="B47" s="507" t="s">
        <v>1140</v>
      </c>
      <c r="C47" s="430"/>
      <c r="D47" s="903">
        <f>D45+D44+D46</f>
        <v>70714202</v>
      </c>
      <c r="E47" s="859">
        <f>SUM(E44:E46)</f>
        <v>135342598</v>
      </c>
    </row>
    <row r="48" spans="1:26" ht="14" x14ac:dyDescent="0.3">
      <c r="A48" s="516"/>
      <c r="B48" s="507" t="s">
        <v>1138</v>
      </c>
      <c r="C48" s="430"/>
      <c r="D48" s="851">
        <v>0</v>
      </c>
      <c r="E48" s="865">
        <v>1160690</v>
      </c>
    </row>
    <row r="49" spans="1:26" ht="26" x14ac:dyDescent="0.3">
      <c r="A49" s="516"/>
      <c r="B49" s="507" t="s">
        <v>761</v>
      </c>
      <c r="C49" s="430"/>
      <c r="D49" s="851">
        <f>428469122-428469122</f>
        <v>0</v>
      </c>
      <c r="E49" s="865">
        <v>0</v>
      </c>
    </row>
    <row r="50" spans="1:26" ht="14.5" thickBot="1" x14ac:dyDescent="0.35">
      <c r="A50" s="516"/>
      <c r="B50" s="520" t="s">
        <v>602</v>
      </c>
      <c r="C50" s="521"/>
      <c r="D50" s="857">
        <f>D47+D39+D26+D24+D20+D14+D49</f>
        <v>3812798896</v>
      </c>
      <c r="E50" s="868">
        <f>E14+E20+E24+E26+E39+E40+E41+E42+E47+E48+E49</f>
        <v>3963710276</v>
      </c>
    </row>
    <row r="51" spans="1:26" ht="15" thickTop="1" thickBot="1" x14ac:dyDescent="0.35">
      <c r="A51" s="522"/>
      <c r="B51" s="523"/>
      <c r="C51" s="430"/>
      <c r="D51" s="854"/>
      <c r="E51" s="848"/>
    </row>
    <row r="52" spans="1:26" ht="13.5" thickTop="1" x14ac:dyDescent="0.3">
      <c r="A52" s="491"/>
      <c r="B52" s="524"/>
      <c r="C52" s="524"/>
      <c r="D52" s="525"/>
    </row>
    <row r="53" spans="1:26" ht="14" x14ac:dyDescent="0.3">
      <c r="A53" s="491"/>
      <c r="B53" s="809" t="s">
        <v>603</v>
      </c>
      <c r="C53" s="432"/>
      <c r="D53" s="526">
        <v>1345141011</v>
      </c>
      <c r="E53" s="863">
        <v>1345141011</v>
      </c>
    </row>
    <row r="54" spans="1:26" s="491" customFormat="1" x14ac:dyDescent="0.25">
      <c r="B54" s="810"/>
      <c r="C54" s="489"/>
      <c r="E54" s="753"/>
      <c r="F54" s="804"/>
    </row>
    <row r="55" spans="1:26" s="491" customFormat="1" ht="37.5" x14ac:dyDescent="0.25">
      <c r="A55" s="490"/>
      <c r="B55" s="811" t="s">
        <v>1056</v>
      </c>
      <c r="C55" s="489"/>
      <c r="D55" s="806">
        <f>SUM(D27:D38)</f>
        <v>850078888</v>
      </c>
      <c r="E55" s="753">
        <f>E39+E40+E42</f>
        <v>931002711</v>
      </c>
      <c r="F55" s="869">
        <f>E55-D55</f>
        <v>80923823</v>
      </c>
    </row>
    <row r="56" spans="1:26" x14ac:dyDescent="0.25">
      <c r="B56" s="808" t="s">
        <v>1057</v>
      </c>
      <c r="D56" s="806">
        <f>D47</f>
        <v>70714202</v>
      </c>
      <c r="E56" s="753">
        <f>70714202+48340228+411066</f>
        <v>119465496</v>
      </c>
      <c r="F56" s="869">
        <f t="shared" ref="F56:F57" si="0">E56-D56</f>
        <v>48751294</v>
      </c>
    </row>
    <row r="57" spans="1:26" ht="13" x14ac:dyDescent="0.3">
      <c r="B57" s="524" t="s">
        <v>894</v>
      </c>
      <c r="C57" s="488"/>
      <c r="D57" s="526">
        <f>D50-D55-D56</f>
        <v>2892005806</v>
      </c>
      <c r="E57" s="863">
        <f>E50-E56-E55</f>
        <v>2913242069</v>
      </c>
      <c r="F57" s="869">
        <f t="shared" si="0"/>
        <v>21236263</v>
      </c>
    </row>
    <row r="58" spans="1:26" x14ac:dyDescent="0.25">
      <c r="B58" s="527"/>
    </row>
    <row r="59" spans="1:26" s="489" customFormat="1" x14ac:dyDescent="0.25">
      <c r="A59" s="490"/>
      <c r="B59" s="528"/>
      <c r="D59" s="491"/>
      <c r="E59" s="753"/>
      <c r="F59" s="804"/>
      <c r="G59" s="491"/>
      <c r="H59" s="807"/>
      <c r="I59" s="807"/>
      <c r="J59" s="807"/>
      <c r="K59" s="807"/>
      <c r="L59" s="807"/>
      <c r="M59" s="807"/>
      <c r="N59" s="807"/>
      <c r="O59" s="807"/>
      <c r="P59" s="807"/>
      <c r="Q59" s="807"/>
      <c r="R59" s="807"/>
      <c r="S59" s="807"/>
      <c r="T59" s="807"/>
      <c r="U59" s="807"/>
      <c r="V59" s="807"/>
      <c r="W59" s="807"/>
      <c r="X59" s="807"/>
      <c r="Y59" s="807"/>
      <c r="Z59" s="807"/>
    </row>
    <row r="60" spans="1:26" s="489" customFormat="1" x14ac:dyDescent="0.25">
      <c r="A60" s="490"/>
      <c r="B60" s="528"/>
      <c r="D60" s="491"/>
      <c r="E60" s="753"/>
      <c r="F60" s="804"/>
      <c r="G60" s="491"/>
      <c r="H60" s="807"/>
      <c r="I60" s="807"/>
      <c r="J60" s="807"/>
      <c r="K60" s="807"/>
      <c r="L60" s="807"/>
      <c r="M60" s="807"/>
      <c r="N60" s="807"/>
      <c r="O60" s="807"/>
      <c r="P60" s="807"/>
      <c r="Q60" s="807"/>
      <c r="R60" s="807"/>
      <c r="S60" s="807"/>
      <c r="T60" s="807"/>
      <c r="U60" s="807"/>
      <c r="V60" s="807"/>
      <c r="W60" s="807"/>
      <c r="X60" s="807"/>
      <c r="Y60" s="807"/>
      <c r="Z60" s="807"/>
    </row>
    <row r="61" spans="1:26" s="489" customFormat="1" x14ac:dyDescent="0.25">
      <c r="A61" s="490"/>
      <c r="B61" s="528"/>
      <c r="D61" s="491"/>
      <c r="E61" s="753"/>
      <c r="F61" s="804"/>
      <c r="G61" s="491"/>
      <c r="H61" s="807"/>
      <c r="I61" s="807"/>
      <c r="J61" s="807"/>
      <c r="K61" s="807"/>
      <c r="L61" s="807"/>
      <c r="M61" s="807"/>
      <c r="N61" s="807"/>
      <c r="O61" s="807"/>
      <c r="P61" s="807"/>
      <c r="Q61" s="807"/>
      <c r="R61" s="807"/>
      <c r="S61" s="807"/>
      <c r="T61" s="807"/>
      <c r="U61" s="807"/>
      <c r="V61" s="807"/>
      <c r="W61" s="807"/>
      <c r="X61" s="807"/>
      <c r="Y61" s="807"/>
      <c r="Z61" s="807"/>
    </row>
    <row r="62" spans="1:26" s="489" customFormat="1" x14ac:dyDescent="0.25">
      <c r="A62" s="490"/>
      <c r="B62" s="527"/>
      <c r="D62" s="491"/>
      <c r="E62" s="753"/>
      <c r="F62" s="804"/>
      <c r="G62" s="491"/>
      <c r="H62" s="807"/>
      <c r="I62" s="807"/>
      <c r="J62" s="807"/>
      <c r="K62" s="807"/>
      <c r="L62" s="807"/>
      <c r="M62" s="807"/>
      <c r="N62" s="807"/>
      <c r="O62" s="807"/>
      <c r="P62" s="807"/>
      <c r="Q62" s="807"/>
      <c r="R62" s="807"/>
      <c r="S62" s="807"/>
      <c r="T62" s="807"/>
      <c r="U62" s="807"/>
      <c r="V62" s="807"/>
      <c r="W62" s="807"/>
      <c r="X62" s="807"/>
      <c r="Y62" s="807"/>
      <c r="Z62" s="807"/>
    </row>
    <row r="63" spans="1:26" s="489" customFormat="1" x14ac:dyDescent="0.25">
      <c r="A63" s="490"/>
      <c r="B63" s="527"/>
      <c r="D63" s="491"/>
      <c r="E63" s="753"/>
      <c r="F63" s="804"/>
      <c r="G63" s="491"/>
      <c r="H63" s="807"/>
      <c r="I63" s="807"/>
      <c r="J63" s="807"/>
      <c r="K63" s="807"/>
      <c r="L63" s="807"/>
      <c r="M63" s="807"/>
      <c r="N63" s="807"/>
      <c r="O63" s="807"/>
      <c r="P63" s="807"/>
      <c r="Q63" s="807"/>
      <c r="R63" s="807"/>
      <c r="S63" s="807"/>
      <c r="T63" s="807"/>
      <c r="U63" s="807"/>
      <c r="V63" s="807"/>
      <c r="W63" s="807"/>
      <c r="X63" s="807"/>
      <c r="Y63" s="807"/>
      <c r="Z63" s="807"/>
    </row>
    <row r="64" spans="1:26" s="489" customFormat="1" x14ac:dyDescent="0.25">
      <c r="A64" s="490"/>
      <c r="B64" s="527"/>
      <c r="D64" s="491"/>
      <c r="E64" s="753"/>
      <c r="F64" s="804"/>
      <c r="G64" s="491"/>
      <c r="H64" s="807"/>
      <c r="I64" s="807"/>
      <c r="J64" s="807"/>
      <c r="K64" s="807"/>
      <c r="L64" s="807"/>
      <c r="M64" s="807"/>
      <c r="N64" s="807"/>
      <c r="O64" s="807"/>
      <c r="P64" s="807"/>
      <c r="Q64" s="807"/>
      <c r="R64" s="807"/>
      <c r="S64" s="807"/>
      <c r="T64" s="807"/>
      <c r="U64" s="807"/>
      <c r="V64" s="807"/>
      <c r="W64" s="807"/>
      <c r="X64" s="807"/>
      <c r="Y64" s="807"/>
      <c r="Z64" s="807"/>
    </row>
    <row r="65" spans="1:26" s="489" customFormat="1" x14ac:dyDescent="0.25">
      <c r="A65" s="490"/>
      <c r="B65" s="528"/>
      <c r="D65" s="491"/>
      <c r="E65" s="753"/>
      <c r="F65" s="804"/>
      <c r="G65" s="491"/>
      <c r="H65" s="807"/>
      <c r="I65" s="807"/>
      <c r="J65" s="807"/>
      <c r="K65" s="807"/>
      <c r="L65" s="807"/>
      <c r="M65" s="807"/>
      <c r="N65" s="807"/>
      <c r="O65" s="807"/>
      <c r="P65" s="807"/>
      <c r="Q65" s="807"/>
      <c r="R65" s="807"/>
      <c r="S65" s="807"/>
      <c r="T65" s="807"/>
      <c r="U65" s="807"/>
      <c r="V65" s="807"/>
      <c r="W65" s="807"/>
      <c r="X65" s="807"/>
      <c r="Y65" s="807"/>
      <c r="Z65" s="807"/>
    </row>
    <row r="66" spans="1:26" s="489" customFormat="1" x14ac:dyDescent="0.25">
      <c r="A66" s="490"/>
      <c r="B66" s="527"/>
      <c r="D66" s="491"/>
      <c r="E66" s="753"/>
      <c r="F66" s="804"/>
      <c r="G66" s="491"/>
      <c r="H66" s="807"/>
      <c r="I66" s="807"/>
      <c r="J66" s="807"/>
      <c r="K66" s="807"/>
      <c r="L66" s="807"/>
      <c r="M66" s="807"/>
      <c r="N66" s="807"/>
      <c r="O66" s="807"/>
      <c r="P66" s="807"/>
      <c r="Q66" s="807"/>
      <c r="R66" s="807"/>
      <c r="S66" s="807"/>
      <c r="T66" s="807"/>
      <c r="U66" s="807"/>
      <c r="V66" s="807"/>
      <c r="W66" s="807"/>
      <c r="X66" s="807"/>
      <c r="Y66" s="807"/>
      <c r="Z66" s="807"/>
    </row>
    <row r="67" spans="1:26" s="489" customFormat="1" x14ac:dyDescent="0.25">
      <c r="A67" s="490"/>
      <c r="B67" s="527"/>
      <c r="D67" s="491"/>
      <c r="E67" s="753"/>
      <c r="F67" s="804"/>
      <c r="G67" s="491"/>
      <c r="H67" s="807"/>
      <c r="I67" s="807"/>
      <c r="J67" s="807"/>
      <c r="K67" s="807"/>
      <c r="L67" s="807"/>
      <c r="M67" s="807"/>
      <c r="N67" s="807"/>
      <c r="O67" s="807"/>
      <c r="P67" s="807"/>
      <c r="Q67" s="807"/>
      <c r="R67" s="807"/>
      <c r="S67" s="807"/>
      <c r="T67" s="807"/>
      <c r="U67" s="807"/>
      <c r="V67" s="807"/>
      <c r="W67" s="807"/>
      <c r="X67" s="807"/>
      <c r="Y67" s="807"/>
      <c r="Z67" s="807"/>
    </row>
    <row r="68" spans="1:26" s="489" customFormat="1" x14ac:dyDescent="0.25">
      <c r="A68" s="490"/>
      <c r="B68" s="527"/>
      <c r="D68" s="491"/>
      <c r="E68" s="753"/>
      <c r="F68" s="804"/>
      <c r="G68" s="491"/>
      <c r="H68" s="807"/>
      <c r="I68" s="807"/>
      <c r="J68" s="807"/>
      <c r="K68" s="807"/>
      <c r="L68" s="807"/>
      <c r="M68" s="807"/>
      <c r="N68" s="807"/>
      <c r="O68" s="807"/>
      <c r="P68" s="807"/>
      <c r="Q68" s="807"/>
      <c r="R68" s="807"/>
      <c r="S68" s="807"/>
      <c r="T68" s="807"/>
      <c r="U68" s="807"/>
      <c r="V68" s="807"/>
      <c r="W68" s="807"/>
      <c r="X68" s="807"/>
      <c r="Y68" s="807"/>
      <c r="Z68" s="807"/>
    </row>
    <row r="69" spans="1:26" s="489" customFormat="1" x14ac:dyDescent="0.25">
      <c r="A69" s="490"/>
      <c r="B69" s="529"/>
      <c r="D69" s="491"/>
      <c r="E69" s="753"/>
      <c r="F69" s="804"/>
      <c r="G69" s="491"/>
      <c r="H69" s="807"/>
      <c r="I69" s="807"/>
      <c r="J69" s="807"/>
      <c r="K69" s="807"/>
      <c r="L69" s="807"/>
      <c r="M69" s="807"/>
      <c r="N69" s="807"/>
      <c r="O69" s="807"/>
      <c r="P69" s="807"/>
      <c r="Q69" s="807"/>
      <c r="R69" s="807"/>
      <c r="S69" s="807"/>
      <c r="T69" s="807"/>
      <c r="U69" s="807"/>
      <c r="V69" s="807"/>
      <c r="W69" s="807"/>
      <c r="X69" s="807"/>
      <c r="Y69" s="807"/>
      <c r="Z69" s="807"/>
    </row>
    <row r="70" spans="1:26" s="489" customFormat="1" ht="13" x14ac:dyDescent="0.3">
      <c r="A70" s="490"/>
      <c r="B70" s="530"/>
      <c r="D70" s="491"/>
      <c r="E70" s="753"/>
      <c r="F70" s="804"/>
      <c r="G70" s="491"/>
      <c r="H70" s="807"/>
      <c r="I70" s="807"/>
      <c r="J70" s="807"/>
      <c r="K70" s="807"/>
      <c r="L70" s="807"/>
      <c r="M70" s="807"/>
      <c r="N70" s="807"/>
      <c r="O70" s="807"/>
      <c r="P70" s="807"/>
      <c r="Q70" s="807"/>
      <c r="R70" s="807"/>
      <c r="S70" s="807"/>
      <c r="T70" s="807"/>
      <c r="U70" s="807"/>
      <c r="V70" s="807"/>
      <c r="W70" s="807"/>
      <c r="X70" s="807"/>
      <c r="Y70" s="807"/>
      <c r="Z70" s="807"/>
    </row>
    <row r="71" spans="1:26" s="489" customFormat="1" ht="13" x14ac:dyDescent="0.3">
      <c r="A71" s="490"/>
      <c r="B71" s="531"/>
      <c r="D71" s="491"/>
      <c r="E71" s="753"/>
      <c r="F71" s="804"/>
      <c r="G71" s="491"/>
      <c r="H71" s="807"/>
      <c r="I71" s="807"/>
      <c r="J71" s="807"/>
      <c r="K71" s="807"/>
      <c r="L71" s="807"/>
      <c r="M71" s="807"/>
      <c r="N71" s="807"/>
      <c r="O71" s="807"/>
      <c r="P71" s="807"/>
      <c r="Q71" s="807"/>
      <c r="R71" s="807"/>
      <c r="S71" s="807"/>
      <c r="T71" s="807"/>
      <c r="U71" s="807"/>
      <c r="V71" s="807"/>
      <c r="W71" s="807"/>
      <c r="X71" s="807"/>
      <c r="Y71" s="807"/>
      <c r="Z71" s="807"/>
    </row>
    <row r="72" spans="1:26" s="489" customFormat="1" x14ac:dyDescent="0.25">
      <c r="A72" s="490"/>
      <c r="B72" s="527"/>
      <c r="D72" s="491"/>
      <c r="E72" s="753"/>
      <c r="F72" s="804"/>
      <c r="G72" s="491"/>
      <c r="H72" s="807"/>
      <c r="I72" s="807"/>
      <c r="J72" s="807"/>
      <c r="K72" s="807"/>
      <c r="L72" s="807"/>
      <c r="M72" s="807"/>
      <c r="N72" s="807"/>
      <c r="O72" s="807"/>
      <c r="P72" s="807"/>
      <c r="Q72" s="807"/>
      <c r="R72" s="807"/>
      <c r="S72" s="807"/>
      <c r="T72" s="807"/>
      <c r="U72" s="807"/>
      <c r="V72" s="807"/>
      <c r="W72" s="807"/>
      <c r="X72" s="807"/>
      <c r="Y72" s="807"/>
      <c r="Z72" s="807"/>
    </row>
    <row r="73" spans="1:26" s="489" customFormat="1" x14ac:dyDescent="0.25">
      <c r="A73" s="490"/>
      <c r="B73" s="808"/>
      <c r="D73" s="491"/>
      <c r="E73" s="753"/>
      <c r="F73" s="804"/>
      <c r="G73" s="491"/>
      <c r="H73" s="807"/>
      <c r="I73" s="807"/>
      <c r="J73" s="807"/>
      <c r="K73" s="807"/>
      <c r="L73" s="807"/>
      <c r="M73" s="807"/>
      <c r="N73" s="807"/>
      <c r="O73" s="807"/>
      <c r="P73" s="807"/>
      <c r="Q73" s="807"/>
      <c r="R73" s="807"/>
      <c r="S73" s="807"/>
      <c r="T73" s="807"/>
      <c r="U73" s="807"/>
      <c r="V73" s="807"/>
      <c r="W73" s="807"/>
      <c r="X73" s="807"/>
      <c r="Y73" s="807"/>
      <c r="Z73" s="807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8" orientation="portrait" r:id="rId1"/>
  <rowBreaks count="1" manualBreakCount="1">
    <brk id="30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21EF2-F505-41CC-B835-E10AD0E286BE}">
  <sheetPr>
    <tabColor theme="5" tint="0.79998168889431442"/>
  </sheetPr>
  <dimension ref="A1:H90"/>
  <sheetViews>
    <sheetView topLeftCell="A28" zoomScale="120" zoomScaleNormal="120" workbookViewId="0">
      <selection activeCell="E77" sqref="E77"/>
    </sheetView>
  </sheetViews>
  <sheetFormatPr defaultColWidth="9.1796875" defaultRowHeight="12.5" x14ac:dyDescent="0.25"/>
  <cols>
    <col min="1" max="1" width="9.1796875" style="812"/>
    <col min="2" max="2" width="53.81640625" style="532" customWidth="1"/>
    <col min="3" max="3" width="17" style="884" customWidth="1"/>
    <col min="4" max="4" width="16.36328125" style="885" customWidth="1"/>
    <col min="5" max="5" width="10.1796875" style="532" bestFit="1" customWidth="1"/>
    <col min="6" max="16384" width="9.1796875" style="532"/>
  </cols>
  <sheetData>
    <row r="1" spans="1:4" ht="63.75" customHeight="1" x14ac:dyDescent="0.25">
      <c r="B1" s="548" t="s">
        <v>983</v>
      </c>
      <c r="C1" s="548" t="s">
        <v>470</v>
      </c>
      <c r="D1" s="883"/>
    </row>
    <row r="2" spans="1:4" ht="13" x14ac:dyDescent="0.3">
      <c r="B2" s="645" t="s">
        <v>787</v>
      </c>
    </row>
    <row r="3" spans="1:4" ht="13.5" thickBot="1" x14ac:dyDescent="0.3">
      <c r="C3" s="886" t="s">
        <v>328</v>
      </c>
    </row>
    <row r="4" spans="1:4" ht="70.5" customHeight="1" thickBot="1" x14ac:dyDescent="0.3">
      <c r="B4" s="534"/>
      <c r="C4" s="535" t="s">
        <v>1061</v>
      </c>
      <c r="D4" s="871" t="s">
        <v>1062</v>
      </c>
    </row>
    <row r="5" spans="1:4" ht="30" customHeight="1" thickBot="1" x14ac:dyDescent="0.3">
      <c r="A5" s="812" t="s">
        <v>509</v>
      </c>
      <c r="B5" s="536" t="s">
        <v>610</v>
      </c>
      <c r="C5" s="874">
        <f>C6+C7</f>
        <v>12500000</v>
      </c>
      <c r="D5" s="875">
        <f>D6+D7</f>
        <v>12500000</v>
      </c>
    </row>
    <row r="6" spans="1:4" ht="30" customHeight="1" thickBot="1" x14ac:dyDescent="0.3">
      <c r="A6" s="812" t="s">
        <v>1063</v>
      </c>
      <c r="B6" s="537" t="s">
        <v>611</v>
      </c>
      <c r="C6" s="879">
        <v>0</v>
      </c>
      <c r="D6" s="873">
        <v>0</v>
      </c>
    </row>
    <row r="7" spans="1:4" ht="30" customHeight="1" thickBot="1" x14ac:dyDescent="0.3">
      <c r="A7" s="812" t="s">
        <v>1064</v>
      </c>
      <c r="B7" s="537" t="s">
        <v>612</v>
      </c>
      <c r="C7" s="876">
        <f>SUM(C8:C18)</f>
        <v>12500000</v>
      </c>
      <c r="D7" s="877">
        <f>SUM(D8:D18)</f>
        <v>12500000</v>
      </c>
    </row>
    <row r="8" spans="1:4" ht="55.4" customHeight="1" thickBot="1" x14ac:dyDescent="0.3">
      <c r="A8" s="812" t="s">
        <v>1065</v>
      </c>
      <c r="B8" s="538" t="s">
        <v>613</v>
      </c>
      <c r="C8" s="879">
        <v>500000</v>
      </c>
      <c r="D8" s="873">
        <v>500000</v>
      </c>
    </row>
    <row r="9" spans="1:4" ht="30" customHeight="1" thickBot="1" x14ac:dyDescent="0.3">
      <c r="A9" s="812" t="s">
        <v>1066</v>
      </c>
      <c r="B9" s="538" t="s">
        <v>614</v>
      </c>
      <c r="C9" s="879">
        <v>5000000</v>
      </c>
      <c r="D9" s="873">
        <v>5000000</v>
      </c>
    </row>
    <row r="10" spans="1:4" ht="30" customHeight="1" thickBot="1" x14ac:dyDescent="0.3">
      <c r="A10" s="812" t="s">
        <v>1067</v>
      </c>
      <c r="B10" s="538" t="s">
        <v>615</v>
      </c>
      <c r="C10" s="879">
        <v>1500000</v>
      </c>
      <c r="D10" s="873">
        <v>1500000</v>
      </c>
    </row>
    <row r="11" spans="1:4" ht="30" customHeight="1" thickBot="1" x14ac:dyDescent="0.3">
      <c r="A11" s="812" t="s">
        <v>1068</v>
      </c>
      <c r="B11" s="538" t="s">
        <v>616</v>
      </c>
      <c r="C11" s="879">
        <v>400000</v>
      </c>
      <c r="D11" s="873">
        <v>400000</v>
      </c>
    </row>
    <row r="12" spans="1:4" ht="30" customHeight="1" thickBot="1" x14ac:dyDescent="0.3">
      <c r="A12" s="812" t="s">
        <v>1069</v>
      </c>
      <c r="B12" s="538" t="s">
        <v>617</v>
      </c>
      <c r="C12" s="879">
        <v>400000</v>
      </c>
      <c r="D12" s="873">
        <v>400000</v>
      </c>
    </row>
    <row r="13" spans="1:4" ht="30" customHeight="1" thickBot="1" x14ac:dyDescent="0.3">
      <c r="A13" s="812" t="s">
        <v>1070</v>
      </c>
      <c r="B13" s="538" t="s">
        <v>618</v>
      </c>
      <c r="C13" s="879">
        <v>500000</v>
      </c>
      <c r="D13" s="873">
        <v>500000</v>
      </c>
    </row>
    <row r="14" spans="1:4" ht="30" customHeight="1" thickBot="1" x14ac:dyDescent="0.3">
      <c r="A14" s="812" t="s">
        <v>1071</v>
      </c>
      <c r="B14" s="538" t="s">
        <v>969</v>
      </c>
      <c r="C14" s="879">
        <v>1000000</v>
      </c>
      <c r="D14" s="873">
        <v>1000000</v>
      </c>
    </row>
    <row r="15" spans="1:4" ht="30" customHeight="1" thickBot="1" x14ac:dyDescent="0.3">
      <c r="A15" s="812" t="s">
        <v>1072</v>
      </c>
      <c r="B15" s="538" t="s">
        <v>619</v>
      </c>
      <c r="C15" s="879">
        <v>200000</v>
      </c>
      <c r="D15" s="873">
        <v>200000</v>
      </c>
    </row>
    <row r="16" spans="1:4" ht="30" customHeight="1" thickBot="1" x14ac:dyDescent="0.3">
      <c r="A16" s="812" t="s">
        <v>1073</v>
      </c>
      <c r="B16" s="538" t="s">
        <v>620</v>
      </c>
      <c r="C16" s="879">
        <v>500000</v>
      </c>
      <c r="D16" s="873">
        <v>500000</v>
      </c>
    </row>
    <row r="17" spans="1:4" ht="42" customHeight="1" thickBot="1" x14ac:dyDescent="0.3">
      <c r="A17" s="812" t="s">
        <v>1074</v>
      </c>
      <c r="B17" s="538" t="s">
        <v>768</v>
      </c>
      <c r="C17" s="879">
        <v>700000</v>
      </c>
      <c r="D17" s="873">
        <v>700000</v>
      </c>
    </row>
    <row r="18" spans="1:4" ht="47.15" customHeight="1" thickBot="1" x14ac:dyDescent="0.3">
      <c r="A18" s="812" t="s">
        <v>1075</v>
      </c>
      <c r="B18" s="538" t="s">
        <v>659</v>
      </c>
      <c r="C18" s="879">
        <v>1800000</v>
      </c>
      <c r="D18" s="873">
        <v>1800000</v>
      </c>
    </row>
    <row r="19" spans="1:4" ht="30" customHeight="1" thickBot="1" x14ac:dyDescent="0.3">
      <c r="A19" s="812" t="s">
        <v>0</v>
      </c>
      <c r="B19" s="539" t="s">
        <v>621</v>
      </c>
      <c r="C19" s="882">
        <v>500000</v>
      </c>
      <c r="D19" s="887">
        <v>500000</v>
      </c>
    </row>
    <row r="20" spans="1:4" ht="30" customHeight="1" thickBot="1" x14ac:dyDescent="0.3">
      <c r="A20" s="812" t="s">
        <v>2</v>
      </c>
      <c r="B20" s="536" t="s">
        <v>622</v>
      </c>
      <c r="C20" s="878">
        <f>C21+C22</f>
        <v>320470000</v>
      </c>
      <c r="D20" s="878">
        <f>D21+D22</f>
        <v>320470000</v>
      </c>
    </row>
    <row r="21" spans="1:4" ht="30" customHeight="1" thickBot="1" x14ac:dyDescent="0.3">
      <c r="A21" s="812" t="s">
        <v>1076</v>
      </c>
      <c r="B21" s="537" t="s">
        <v>623</v>
      </c>
      <c r="C21" s="888">
        <v>0</v>
      </c>
      <c r="D21" s="873">
        <v>0</v>
      </c>
    </row>
    <row r="22" spans="1:4" ht="30" customHeight="1" thickBot="1" x14ac:dyDescent="0.3">
      <c r="A22" s="812" t="s">
        <v>1077</v>
      </c>
      <c r="B22" s="540" t="s">
        <v>624</v>
      </c>
      <c r="C22" s="876">
        <f>SUM(C23:C34)</f>
        <v>320470000</v>
      </c>
      <c r="D22" s="876">
        <f>SUM(D23:D34)</f>
        <v>320470000</v>
      </c>
    </row>
    <row r="23" spans="1:4" ht="14.5" thickBot="1" x14ac:dyDescent="0.3">
      <c r="A23" s="812" t="s">
        <v>1078</v>
      </c>
      <c r="B23" s="538" t="s">
        <v>625</v>
      </c>
      <c r="C23" s="879">
        <v>8200000</v>
      </c>
      <c r="D23" s="873">
        <v>8200000</v>
      </c>
    </row>
    <row r="24" spans="1:4" ht="34.25" customHeight="1" thickBot="1" x14ac:dyDescent="0.3">
      <c r="A24" s="812" t="s">
        <v>1079</v>
      </c>
      <c r="B24" s="538" t="s">
        <v>767</v>
      </c>
      <c r="C24" s="879">
        <v>10000000</v>
      </c>
      <c r="D24" s="873">
        <v>10000000</v>
      </c>
    </row>
    <row r="25" spans="1:4" ht="28.5" thickBot="1" x14ac:dyDescent="0.3">
      <c r="A25" s="812" t="s">
        <v>1080</v>
      </c>
      <c r="B25" s="538" t="s">
        <v>970</v>
      </c>
      <c r="C25" s="879">
        <f>30000000-5000000+10000000</f>
        <v>35000000</v>
      </c>
      <c r="D25" s="873">
        <v>35000000</v>
      </c>
    </row>
    <row r="26" spans="1:4" ht="27.75" customHeight="1" thickBot="1" x14ac:dyDescent="0.3">
      <c r="A26" s="812" t="s">
        <v>1081</v>
      </c>
      <c r="B26" s="538" t="s">
        <v>626</v>
      </c>
      <c r="C26" s="879">
        <f>26600000+20000000-5000000+20000000</f>
        <v>61600000</v>
      </c>
      <c r="D26" s="873">
        <v>61600000</v>
      </c>
    </row>
    <row r="27" spans="1:4" ht="14.5" thickBot="1" x14ac:dyDescent="0.3">
      <c r="A27" s="812" t="s">
        <v>1082</v>
      </c>
      <c r="B27" s="538" t="s">
        <v>627</v>
      </c>
      <c r="C27" s="879">
        <f>70000000-10000000</f>
        <v>60000000</v>
      </c>
      <c r="D27" s="873">
        <v>60000000</v>
      </c>
    </row>
    <row r="28" spans="1:4" ht="14.5" thickBot="1" x14ac:dyDescent="0.3">
      <c r="A28" s="812" t="s">
        <v>1083</v>
      </c>
      <c r="B28" s="538" t="s">
        <v>628</v>
      </c>
      <c r="C28" s="879">
        <v>6420000</v>
      </c>
      <c r="D28" s="873">
        <v>6420000</v>
      </c>
    </row>
    <row r="29" spans="1:4" ht="28.5" thickBot="1" x14ac:dyDescent="0.3">
      <c r="A29" s="812" t="s">
        <v>1084</v>
      </c>
      <c r="B29" s="538" t="s">
        <v>629</v>
      </c>
      <c r="C29" s="879">
        <v>1500000</v>
      </c>
      <c r="D29" s="873">
        <v>1500000</v>
      </c>
    </row>
    <row r="30" spans="1:4" ht="28.5" thickBot="1" x14ac:dyDescent="0.3">
      <c r="A30" s="812" t="s">
        <v>1085</v>
      </c>
      <c r="B30" s="538" t="s">
        <v>630</v>
      </c>
      <c r="C30" s="879">
        <v>5000000</v>
      </c>
      <c r="D30" s="873">
        <v>5000000</v>
      </c>
    </row>
    <row r="31" spans="1:4" ht="14.5" thickBot="1" x14ac:dyDescent="0.3">
      <c r="A31" s="812" t="s">
        <v>1086</v>
      </c>
      <c r="B31" s="538" t="s">
        <v>631</v>
      </c>
      <c r="C31" s="879">
        <v>1500000</v>
      </c>
      <c r="D31" s="873">
        <v>1500000</v>
      </c>
    </row>
    <row r="32" spans="1:4" ht="14.5" thickBot="1" x14ac:dyDescent="0.3">
      <c r="A32" s="812" t="s">
        <v>1087</v>
      </c>
      <c r="B32" s="538" t="s">
        <v>632</v>
      </c>
      <c r="C32" s="879">
        <v>750000</v>
      </c>
      <c r="D32" s="873">
        <v>750000</v>
      </c>
    </row>
    <row r="33" spans="1:4" ht="14.5" thickBot="1" x14ac:dyDescent="0.3">
      <c r="A33" s="812" t="s">
        <v>1088</v>
      </c>
      <c r="B33" s="538" t="s">
        <v>660</v>
      </c>
      <c r="C33" s="879">
        <v>500000</v>
      </c>
      <c r="D33" s="873">
        <v>500000</v>
      </c>
    </row>
    <row r="34" spans="1:4" ht="28.5" thickBot="1" x14ac:dyDescent="0.3">
      <c r="A34" s="812" t="s">
        <v>1089</v>
      </c>
      <c r="B34" s="538" t="s">
        <v>823</v>
      </c>
      <c r="C34" s="879">
        <v>130000000</v>
      </c>
      <c r="D34" s="873">
        <v>130000000</v>
      </c>
    </row>
    <row r="35" spans="1:4" ht="14.5" thickBot="1" x14ac:dyDescent="0.3">
      <c r="A35" s="812" t="s">
        <v>664</v>
      </c>
      <c r="B35" s="539" t="s">
        <v>633</v>
      </c>
      <c r="C35" s="889">
        <v>0</v>
      </c>
      <c r="D35" s="887">
        <v>0</v>
      </c>
    </row>
    <row r="36" spans="1:4" ht="14.5" thickBot="1" x14ac:dyDescent="0.3">
      <c r="A36" s="812" t="s">
        <v>4</v>
      </c>
      <c r="B36" s="539" t="s">
        <v>634</v>
      </c>
      <c r="C36" s="889">
        <v>0</v>
      </c>
      <c r="D36" s="887">
        <v>0</v>
      </c>
    </row>
    <row r="37" spans="1:4" ht="14.5" thickBot="1" x14ac:dyDescent="0.3">
      <c r="A37" s="812" t="s">
        <v>6</v>
      </c>
      <c r="B37" s="537" t="s">
        <v>635</v>
      </c>
      <c r="C37" s="890"/>
      <c r="D37" s="873"/>
    </row>
    <row r="38" spans="1:4" ht="14.5" thickBot="1" x14ac:dyDescent="0.3">
      <c r="A38" s="812" t="s">
        <v>8</v>
      </c>
      <c r="B38" s="539" t="s">
        <v>228</v>
      </c>
      <c r="C38" s="891">
        <f>SUM(C39:C44)</f>
        <v>2100000</v>
      </c>
      <c r="D38" s="891">
        <f>SUM(D39:D44)</f>
        <v>2100000</v>
      </c>
    </row>
    <row r="39" spans="1:4" ht="28.5" thickBot="1" x14ac:dyDescent="0.3">
      <c r="A39" s="812" t="s">
        <v>1090</v>
      </c>
      <c r="B39" s="538" t="s">
        <v>636</v>
      </c>
      <c r="C39" s="879">
        <v>500000</v>
      </c>
      <c r="D39" s="873">
        <v>500000</v>
      </c>
    </row>
    <row r="40" spans="1:4" ht="14.5" thickBot="1" x14ac:dyDescent="0.3">
      <c r="A40" s="812" t="s">
        <v>1091</v>
      </c>
      <c r="B40" s="538" t="s">
        <v>637</v>
      </c>
      <c r="C40" s="879">
        <v>500000</v>
      </c>
      <c r="D40" s="873">
        <v>500000</v>
      </c>
    </row>
    <row r="41" spans="1:4" ht="14.5" thickBot="1" x14ac:dyDescent="0.3">
      <c r="A41" s="812" t="s">
        <v>1092</v>
      </c>
      <c r="B41" s="538" t="s">
        <v>638</v>
      </c>
      <c r="C41" s="879">
        <v>300000</v>
      </c>
      <c r="D41" s="873">
        <v>300000</v>
      </c>
    </row>
    <row r="42" spans="1:4" ht="14.5" thickBot="1" x14ac:dyDescent="0.3">
      <c r="A42" s="812" t="s">
        <v>1093</v>
      </c>
      <c r="B42" s="538" t="s">
        <v>639</v>
      </c>
      <c r="C42" s="879">
        <v>300000</v>
      </c>
      <c r="D42" s="873">
        <v>300000</v>
      </c>
    </row>
    <row r="43" spans="1:4" ht="14.5" thickBot="1" x14ac:dyDescent="0.3">
      <c r="A43" s="812" t="s">
        <v>1094</v>
      </c>
      <c r="B43" s="538" t="s">
        <v>640</v>
      </c>
      <c r="C43" s="879">
        <v>300000</v>
      </c>
      <c r="D43" s="873">
        <v>300000</v>
      </c>
    </row>
    <row r="44" spans="1:4" ht="14.5" thickBot="1" x14ac:dyDescent="0.3">
      <c r="A44" s="812" t="s">
        <v>1095</v>
      </c>
      <c r="B44" s="538" t="s">
        <v>641</v>
      </c>
      <c r="C44" s="879">
        <v>200000</v>
      </c>
      <c r="D44" s="873">
        <v>200000</v>
      </c>
    </row>
    <row r="45" spans="1:4" ht="14.5" thickBot="1" x14ac:dyDescent="0.3">
      <c r="A45" s="812" t="s">
        <v>10</v>
      </c>
      <c r="B45" s="539" t="s">
        <v>642</v>
      </c>
      <c r="C45" s="880">
        <f>SUM(C46:C63)</f>
        <v>50712500</v>
      </c>
      <c r="D45" s="880">
        <f>SUM(D46:D63)</f>
        <v>50712500</v>
      </c>
    </row>
    <row r="46" spans="1:4" ht="14.5" thickBot="1" x14ac:dyDescent="0.3">
      <c r="A46" s="812" t="s">
        <v>1096</v>
      </c>
      <c r="B46" s="541" t="s">
        <v>824</v>
      </c>
      <c r="C46" s="881">
        <v>0</v>
      </c>
      <c r="D46" s="873">
        <v>0</v>
      </c>
    </row>
    <row r="47" spans="1:4" ht="28.5" thickBot="1" x14ac:dyDescent="0.3">
      <c r="A47" s="812" t="s">
        <v>1097</v>
      </c>
      <c r="B47" s="541" t="s">
        <v>971</v>
      </c>
      <c r="C47" s="881">
        <v>100000</v>
      </c>
      <c r="D47" s="873">
        <v>100000</v>
      </c>
    </row>
    <row r="48" spans="1:4" ht="45.65" customHeight="1" thickBot="1" x14ac:dyDescent="0.3">
      <c r="A48" s="812" t="s">
        <v>1098</v>
      </c>
      <c r="B48" s="538" t="s">
        <v>661</v>
      </c>
      <c r="C48" s="879">
        <v>400000</v>
      </c>
      <c r="D48" s="873">
        <v>400000</v>
      </c>
    </row>
    <row r="49" spans="1:6" ht="30" customHeight="1" thickBot="1" x14ac:dyDescent="0.3">
      <c r="A49" s="812" t="s">
        <v>1099</v>
      </c>
      <c r="B49" s="872" t="s">
        <v>982</v>
      </c>
      <c r="C49" s="879">
        <v>500000</v>
      </c>
      <c r="D49" s="873">
        <v>500000</v>
      </c>
    </row>
    <row r="50" spans="1:6" ht="14.5" thickBot="1" x14ac:dyDescent="0.3">
      <c r="A50" s="812" t="s">
        <v>1100</v>
      </c>
      <c r="B50" s="538" t="s">
        <v>643</v>
      </c>
      <c r="C50" s="879">
        <v>1000000</v>
      </c>
      <c r="D50" s="873">
        <v>1000000</v>
      </c>
    </row>
    <row r="51" spans="1:6" ht="28.5" thickBot="1" x14ac:dyDescent="0.3">
      <c r="A51" s="812" t="s">
        <v>1101</v>
      </c>
      <c r="B51" s="538" t="s">
        <v>964</v>
      </c>
      <c r="C51" s="879">
        <v>1000000</v>
      </c>
      <c r="D51" s="873">
        <v>1000000</v>
      </c>
    </row>
    <row r="52" spans="1:6" ht="14.5" thickBot="1" x14ac:dyDescent="0.3">
      <c r="A52" s="812" t="s">
        <v>1102</v>
      </c>
      <c r="B52" s="538" t="s">
        <v>657</v>
      </c>
      <c r="C52" s="879">
        <v>50000</v>
      </c>
      <c r="D52" s="873">
        <v>50000</v>
      </c>
    </row>
    <row r="53" spans="1:6" ht="14.5" thickBot="1" x14ac:dyDescent="0.3">
      <c r="A53" s="812" t="s">
        <v>1103</v>
      </c>
      <c r="B53" s="872" t="s">
        <v>978</v>
      </c>
      <c r="C53" s="879">
        <v>2000000</v>
      </c>
      <c r="D53" s="873">
        <v>2000000</v>
      </c>
    </row>
    <row r="54" spans="1:6" ht="14.5" thickBot="1" x14ac:dyDescent="0.3">
      <c r="A54" s="812" t="s">
        <v>1104</v>
      </c>
      <c r="B54" s="538" t="s">
        <v>656</v>
      </c>
      <c r="C54" s="879">
        <v>6250000</v>
      </c>
      <c r="D54" s="873">
        <v>6250000</v>
      </c>
    </row>
    <row r="55" spans="1:6" ht="56.5" thickBot="1" x14ac:dyDescent="0.3">
      <c r="A55" s="812" t="s">
        <v>1105</v>
      </c>
      <c r="B55" s="538" t="s">
        <v>979</v>
      </c>
      <c r="C55" s="879">
        <v>3127500</v>
      </c>
      <c r="D55" s="873">
        <v>3127500</v>
      </c>
    </row>
    <row r="56" spans="1:6" ht="14.5" thickBot="1" x14ac:dyDescent="0.3">
      <c r="A56" s="812" t="s">
        <v>1106</v>
      </c>
      <c r="B56" s="538" t="s">
        <v>954</v>
      </c>
      <c r="C56" s="879">
        <v>5000000</v>
      </c>
      <c r="D56" s="873">
        <v>5000000</v>
      </c>
    </row>
    <row r="57" spans="1:6" ht="42.5" thickBot="1" x14ac:dyDescent="0.3">
      <c r="A57" s="812" t="s">
        <v>1107</v>
      </c>
      <c r="B57" s="538" t="s">
        <v>825</v>
      </c>
      <c r="C57" s="879">
        <v>9600000</v>
      </c>
      <c r="D57" s="873">
        <v>9600000</v>
      </c>
    </row>
    <row r="58" spans="1:6" ht="28.5" thickBot="1" x14ac:dyDescent="0.3">
      <c r="A58" s="812" t="s">
        <v>1108</v>
      </c>
      <c r="B58" s="538" t="s">
        <v>688</v>
      </c>
      <c r="C58" s="879">
        <v>1500000</v>
      </c>
      <c r="D58" s="873">
        <v>1500000</v>
      </c>
    </row>
    <row r="59" spans="1:6" ht="28.5" thickBot="1" x14ac:dyDescent="0.3">
      <c r="A59" s="812" t="s">
        <v>1109</v>
      </c>
      <c r="B59" s="538" t="s">
        <v>980</v>
      </c>
      <c r="C59" s="879">
        <v>12000000</v>
      </c>
      <c r="D59" s="873">
        <v>12000000</v>
      </c>
    </row>
    <row r="60" spans="1:6" ht="14.5" thickBot="1" x14ac:dyDescent="0.3">
      <c r="A60" s="812" t="s">
        <v>1110</v>
      </c>
      <c r="B60" s="538" t="s">
        <v>662</v>
      </c>
      <c r="C60" s="879">
        <v>500000</v>
      </c>
      <c r="D60" s="873">
        <v>500000</v>
      </c>
    </row>
    <row r="61" spans="1:6" ht="28.5" thickBot="1" x14ac:dyDescent="0.3">
      <c r="A61" s="812" t="s">
        <v>1111</v>
      </c>
      <c r="B61" s="538" t="s">
        <v>663</v>
      </c>
      <c r="C61" s="879">
        <v>200000</v>
      </c>
      <c r="D61" s="873">
        <v>200000</v>
      </c>
    </row>
    <row r="62" spans="1:6" ht="42.5" thickBot="1" x14ac:dyDescent="0.3">
      <c r="A62" s="812" t="s">
        <v>1112</v>
      </c>
      <c r="B62" s="538" t="s">
        <v>972</v>
      </c>
      <c r="C62" s="879">
        <v>500000</v>
      </c>
      <c r="D62" s="873">
        <v>500000</v>
      </c>
    </row>
    <row r="63" spans="1:6" ht="28.5" thickBot="1" x14ac:dyDescent="0.3">
      <c r="A63" s="812" t="s">
        <v>1113</v>
      </c>
      <c r="B63" s="538" t="s">
        <v>965</v>
      </c>
      <c r="C63" s="879">
        <v>6985000</v>
      </c>
      <c r="D63" s="873">
        <v>6985000</v>
      </c>
    </row>
    <row r="64" spans="1:6" ht="28.5" thickBot="1" x14ac:dyDescent="0.3">
      <c r="A64" s="812" t="s">
        <v>510</v>
      </c>
      <c r="B64" s="539" t="s">
        <v>826</v>
      </c>
      <c r="C64" s="882">
        <v>9355095</v>
      </c>
      <c r="D64" s="892">
        <f>9355095-317500-44450</f>
        <v>8993145</v>
      </c>
      <c r="E64" s="542"/>
      <c r="F64" s="542"/>
    </row>
    <row r="65" spans="1:7" ht="14.5" thickBot="1" x14ac:dyDescent="0.3">
      <c r="B65" s="538"/>
      <c r="C65" s="879"/>
      <c r="D65" s="873"/>
    </row>
    <row r="66" spans="1:7" ht="14.5" thickBot="1" x14ac:dyDescent="0.3">
      <c r="A66" s="812" t="s">
        <v>12</v>
      </c>
      <c r="B66" s="539" t="s">
        <v>644</v>
      </c>
      <c r="C66" s="882">
        <v>15000000</v>
      </c>
      <c r="D66" s="892">
        <f>15000000-90000-150000</f>
        <v>14760000</v>
      </c>
      <c r="E66" s="542"/>
      <c r="F66" s="542"/>
      <c r="G66" s="542"/>
    </row>
    <row r="67" spans="1:7" ht="14.5" thickBot="1" x14ac:dyDescent="0.3">
      <c r="B67" s="537"/>
      <c r="C67" s="879"/>
      <c r="D67" s="873"/>
    </row>
    <row r="68" spans="1:7" ht="14.5" thickBot="1" x14ac:dyDescent="0.3">
      <c r="A68" s="812" t="s">
        <v>14</v>
      </c>
      <c r="B68" s="539" t="s">
        <v>645</v>
      </c>
      <c r="C68" s="882">
        <v>500000</v>
      </c>
      <c r="D68" s="893">
        <v>500000</v>
      </c>
    </row>
    <row r="69" spans="1:7" ht="14.5" thickBot="1" x14ac:dyDescent="0.3">
      <c r="B69" s="544"/>
      <c r="C69" s="879"/>
      <c r="D69" s="873"/>
    </row>
    <row r="70" spans="1:7" ht="14.5" thickBot="1" x14ac:dyDescent="0.3">
      <c r="A70" s="812" t="s">
        <v>16</v>
      </c>
      <c r="B70" s="539" t="s">
        <v>685</v>
      </c>
      <c r="C70" s="882">
        <v>0</v>
      </c>
      <c r="D70" s="887">
        <v>0</v>
      </c>
    </row>
    <row r="71" spans="1:7" ht="15" thickBot="1" x14ac:dyDescent="0.4">
      <c r="B71" s="545"/>
      <c r="C71" s="879"/>
      <c r="D71" s="873"/>
    </row>
    <row r="72" spans="1:7" ht="14.5" thickBot="1" x14ac:dyDescent="0.3">
      <c r="A72" s="812" t="s">
        <v>17</v>
      </c>
      <c r="B72" s="538" t="s">
        <v>646</v>
      </c>
      <c r="C72" s="879">
        <v>500000</v>
      </c>
      <c r="D72" s="873">
        <v>500000</v>
      </c>
    </row>
    <row r="73" spans="1:7" ht="14.5" thickBot="1" x14ac:dyDescent="0.3">
      <c r="A73" s="812" t="s">
        <v>18</v>
      </c>
      <c r="B73" s="534" t="s">
        <v>647</v>
      </c>
      <c r="C73" s="879">
        <v>7000000</v>
      </c>
      <c r="D73" s="873">
        <v>7000000</v>
      </c>
    </row>
    <row r="74" spans="1:7" ht="15" thickBot="1" x14ac:dyDescent="0.3">
      <c r="A74" s="812" t="s">
        <v>168</v>
      </c>
      <c r="B74" s="546" t="s">
        <v>758</v>
      </c>
      <c r="C74" s="879">
        <v>0</v>
      </c>
      <c r="D74" s="873">
        <v>0</v>
      </c>
    </row>
    <row r="75" spans="1:7" ht="14.5" thickBot="1" x14ac:dyDescent="0.3">
      <c r="A75" s="812" t="s">
        <v>169</v>
      </c>
      <c r="B75" s="538" t="s">
        <v>648</v>
      </c>
      <c r="C75" s="879">
        <v>60000000</v>
      </c>
      <c r="D75" s="873">
        <v>60000000</v>
      </c>
    </row>
    <row r="76" spans="1:7" x14ac:dyDescent="0.25">
      <c r="C76" s="894"/>
    </row>
    <row r="77" spans="1:7" ht="13" x14ac:dyDescent="0.3">
      <c r="B77" s="547" t="s">
        <v>49</v>
      </c>
      <c r="C77" s="895">
        <f>C75+C74+C73+C72+C70+C68+C66+C64+C45+C38+C35+C36+C22+C21+C19+C7+C6</f>
        <v>478637595</v>
      </c>
      <c r="D77" s="895">
        <f>D75+D74+D73+D72+D70+D68+D66+D64+D45+D38+D35+D36+D22+D21+D19+D7+D6</f>
        <v>478035645</v>
      </c>
      <c r="E77" s="896">
        <f>D77-C77</f>
        <v>-601950</v>
      </c>
    </row>
    <row r="78" spans="1:7" x14ac:dyDescent="0.25">
      <c r="A78" s="813"/>
      <c r="B78" s="533"/>
    </row>
    <row r="79" spans="1:7" x14ac:dyDescent="0.25">
      <c r="A79" s="813"/>
      <c r="B79" s="533"/>
    </row>
    <row r="80" spans="1:7" x14ac:dyDescent="0.25">
      <c r="A80" s="813"/>
      <c r="B80" s="533"/>
    </row>
    <row r="81" spans="1:8" x14ac:dyDescent="0.25">
      <c r="A81" s="813"/>
      <c r="B81" s="543"/>
    </row>
    <row r="82" spans="1:8" x14ac:dyDescent="0.25">
      <c r="A82" s="813"/>
      <c r="B82" s="533"/>
    </row>
    <row r="83" spans="1:8" x14ac:dyDescent="0.25">
      <c r="A83" s="813"/>
      <c r="B83" s="533"/>
    </row>
    <row r="84" spans="1:8" x14ac:dyDescent="0.25">
      <c r="A84" s="813"/>
      <c r="B84" s="533"/>
    </row>
    <row r="85" spans="1:8" s="533" customFormat="1" x14ac:dyDescent="0.25">
      <c r="A85" s="813"/>
      <c r="C85" s="884"/>
      <c r="D85" s="885"/>
      <c r="E85" s="532"/>
      <c r="F85" s="532"/>
      <c r="G85" s="532"/>
      <c r="H85" s="532"/>
    </row>
    <row r="86" spans="1:8" s="533" customFormat="1" x14ac:dyDescent="0.25">
      <c r="A86" s="813"/>
      <c r="C86" s="884"/>
      <c r="D86" s="885"/>
      <c r="E86" s="532"/>
      <c r="F86" s="532"/>
      <c r="G86" s="532"/>
      <c r="H86" s="532"/>
    </row>
    <row r="87" spans="1:8" s="533" customFormat="1" x14ac:dyDescent="0.25">
      <c r="A87" s="813"/>
      <c r="C87" s="884"/>
      <c r="D87" s="885"/>
      <c r="E87" s="532"/>
      <c r="F87" s="532"/>
      <c r="G87" s="532"/>
      <c r="H87" s="532"/>
    </row>
    <row r="88" spans="1:8" s="533" customFormat="1" x14ac:dyDescent="0.25">
      <c r="A88" s="813"/>
      <c r="C88" s="884"/>
      <c r="D88" s="885"/>
      <c r="E88" s="532"/>
      <c r="F88" s="532"/>
      <c r="G88" s="532"/>
      <c r="H88" s="532"/>
    </row>
    <row r="89" spans="1:8" s="533" customFormat="1" x14ac:dyDescent="0.25">
      <c r="A89" s="813"/>
      <c r="C89" s="884"/>
      <c r="D89" s="885"/>
      <c r="E89" s="532"/>
      <c r="F89" s="532"/>
      <c r="G89" s="532"/>
      <c r="H89" s="532"/>
    </row>
    <row r="90" spans="1:8" s="533" customFormat="1" x14ac:dyDescent="0.25">
      <c r="A90" s="813"/>
      <c r="C90" s="884"/>
      <c r="D90" s="885"/>
      <c r="E90" s="532"/>
      <c r="F90" s="532"/>
      <c r="G90" s="532"/>
      <c r="H90" s="532"/>
    </row>
  </sheetData>
  <pageMargins left="0.7" right="0.7" top="0.75" bottom="0.75" header="0.3" footer="0.3"/>
  <pageSetup paperSize="8" scale="78" orientation="portrait" r:id="rId1"/>
  <rowBreaks count="1" manualBreakCount="1">
    <brk id="34" max="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79998168889431442"/>
  </sheetPr>
  <dimension ref="A1:AI206"/>
  <sheetViews>
    <sheetView zoomScaleNormal="100" workbookViewId="0">
      <selection activeCell="N10" sqref="N1:Q1048576"/>
    </sheetView>
  </sheetViews>
  <sheetFormatPr defaultRowHeight="12.5" x14ac:dyDescent="0.25"/>
  <cols>
    <col min="1" max="1" width="15.54296875" customWidth="1"/>
    <col min="2" max="2" width="34.81640625" customWidth="1"/>
    <col min="3" max="3" width="19.453125" bestFit="1" customWidth="1"/>
    <col min="4" max="4" width="21.453125" style="753" customWidth="1"/>
    <col min="5" max="5" width="0.36328125" style="67" customWidth="1"/>
    <col min="6" max="6" width="25.81640625" style="67" hidden="1" customWidth="1"/>
    <col min="7" max="7" width="9.1796875" style="8" hidden="1" customWidth="1"/>
    <col min="8" max="8" width="13.90625" style="8" hidden="1" customWidth="1"/>
    <col min="9" max="9" width="9.1796875" style="8" hidden="1" customWidth="1"/>
    <col min="10" max="10" width="15.08984375" style="8" hidden="1" customWidth="1"/>
    <col min="11" max="11" width="8.81640625" style="390"/>
    <col min="12" max="13" width="8.81640625" style="8"/>
    <col min="14" max="14" width="17.08984375" style="422" customWidth="1"/>
    <col min="15" max="15" width="17.36328125" style="422" bestFit="1" customWidth="1"/>
    <col min="16" max="16" width="16.54296875" style="390" bestFit="1" customWidth="1"/>
    <col min="17" max="17" width="8.81640625" style="390"/>
    <col min="18" max="35" width="8.90625" style="8"/>
  </cols>
  <sheetData>
    <row r="1" spans="1:16" ht="15.5" x14ac:dyDescent="0.25">
      <c r="A1" s="1140" t="s">
        <v>67</v>
      </c>
      <c r="B1" s="1140"/>
      <c r="C1" s="1140"/>
      <c r="D1" s="902" t="s">
        <v>711</v>
      </c>
    </row>
    <row r="2" spans="1:16" ht="31.25" customHeight="1" x14ac:dyDescent="0.35">
      <c r="A2" s="1141" t="s">
        <v>1141</v>
      </c>
      <c r="B2" s="1141"/>
      <c r="C2" s="1141"/>
      <c r="D2" s="1141"/>
    </row>
    <row r="3" spans="1:16" ht="15.5" x14ac:dyDescent="0.25">
      <c r="A3" s="287"/>
      <c r="B3" s="287"/>
      <c r="C3" s="287"/>
    </row>
    <row r="4" spans="1:16" ht="13.5" thickBot="1" x14ac:dyDescent="0.35">
      <c r="A4" s="8"/>
      <c r="B4" s="8"/>
      <c r="C4" s="30" t="s">
        <v>471</v>
      </c>
    </row>
    <row r="5" spans="1:16" ht="26.5" thickBot="1" x14ac:dyDescent="0.35">
      <c r="A5" s="41" t="s">
        <v>68</v>
      </c>
      <c r="B5" s="41" t="s">
        <v>69</v>
      </c>
      <c r="C5" s="752" t="s">
        <v>1044</v>
      </c>
      <c r="D5" s="754" t="s">
        <v>1045</v>
      </c>
      <c r="N5" s="897" t="s">
        <v>1046</v>
      </c>
    </row>
    <row r="6" spans="1:16" ht="14.5" thickBot="1" x14ac:dyDescent="0.35">
      <c r="A6" s="667" t="s">
        <v>145</v>
      </c>
      <c r="B6" s="667" t="s">
        <v>146</v>
      </c>
      <c r="C6" s="668"/>
      <c r="D6" s="755"/>
      <c r="O6" s="898">
        <v>45473</v>
      </c>
      <c r="P6" s="899" t="s">
        <v>1042</v>
      </c>
    </row>
    <row r="7" spans="1:16" ht="14.5" thickBot="1" x14ac:dyDescent="0.35">
      <c r="A7" s="669" t="s">
        <v>70</v>
      </c>
      <c r="B7" s="669" t="s">
        <v>50</v>
      </c>
      <c r="C7" s="670">
        <f>'Működési kiadások'!M6</f>
        <v>255957642</v>
      </c>
      <c r="D7" s="756">
        <f>'Működési kiadások'!M7</f>
        <v>277621637</v>
      </c>
      <c r="E7" s="288">
        <f>'Működési bevételek'!L6</f>
        <v>255957642</v>
      </c>
      <c r="F7" s="747">
        <f>E7-C7</f>
        <v>0</v>
      </c>
      <c r="N7" s="422">
        <f>'Működési bevételek'!L7</f>
        <v>277621637</v>
      </c>
      <c r="O7" s="422">
        <v>277621637</v>
      </c>
      <c r="P7" s="395">
        <f>O7-C7</f>
        <v>21663995</v>
      </c>
    </row>
    <row r="8" spans="1:16" ht="14.5" thickBot="1" x14ac:dyDescent="0.35">
      <c r="A8" s="669" t="s">
        <v>147</v>
      </c>
      <c r="B8" s="669" t="s">
        <v>51</v>
      </c>
      <c r="C8" s="670">
        <f>'Működési kiadások'!M8</f>
        <v>202541887</v>
      </c>
      <c r="D8" s="756">
        <f>'Működési kiadások'!M9</f>
        <v>226721411</v>
      </c>
      <c r="E8" s="288">
        <f>'Működési bevételek'!L8</f>
        <v>202541887</v>
      </c>
      <c r="F8" s="747">
        <f t="shared" ref="F8:F12" si="0">E8-C8</f>
        <v>0</v>
      </c>
      <c r="N8" s="422">
        <f>'Működési bevételek'!L9</f>
        <v>226721411</v>
      </c>
      <c r="O8" s="422">
        <v>226721411</v>
      </c>
      <c r="P8" s="395">
        <f t="shared" ref="P8:P29" si="1">O8-C8</f>
        <v>24179524</v>
      </c>
    </row>
    <row r="9" spans="1:16" ht="14.5" thickBot="1" x14ac:dyDescent="0.35">
      <c r="A9" s="669" t="s">
        <v>148</v>
      </c>
      <c r="B9" s="669" t="s">
        <v>258</v>
      </c>
      <c r="C9" s="670">
        <f>'Működési kiadások'!M10</f>
        <v>197698246</v>
      </c>
      <c r="D9" s="756">
        <f>'Felhalmozási kiadások'!I95+'Működési kiadások'!M11</f>
        <v>214094826</v>
      </c>
      <c r="E9" s="288">
        <f>'Működési bevételek'!L10</f>
        <v>197698246</v>
      </c>
      <c r="F9" s="747">
        <f t="shared" si="0"/>
        <v>0</v>
      </c>
      <c r="N9" s="422">
        <f>'Működési bevételek'!L11</f>
        <v>214094826</v>
      </c>
      <c r="O9" s="422">
        <v>214094826</v>
      </c>
      <c r="P9" s="395">
        <f t="shared" si="1"/>
        <v>16396580</v>
      </c>
    </row>
    <row r="10" spans="1:16" ht="14.5" thickBot="1" x14ac:dyDescent="0.35">
      <c r="A10" s="669" t="s">
        <v>149</v>
      </c>
      <c r="B10" s="669" t="s">
        <v>52</v>
      </c>
      <c r="C10" s="670">
        <f>'Működési kiadások'!M12</f>
        <v>122701847</v>
      </c>
      <c r="D10" s="756">
        <f>'Működési kiadások'!M13</f>
        <v>134046559</v>
      </c>
      <c r="E10" s="288">
        <f>'Működési bevételek'!L12</f>
        <v>122701847</v>
      </c>
      <c r="F10" s="747">
        <f t="shared" si="0"/>
        <v>0</v>
      </c>
      <c r="N10" s="422">
        <f>'Működési bevételek'!L13</f>
        <v>134046559</v>
      </c>
      <c r="O10" s="422">
        <v>134046559</v>
      </c>
      <c r="P10" s="395">
        <f t="shared" si="1"/>
        <v>11344712</v>
      </c>
    </row>
    <row r="11" spans="1:16" ht="14.5" thickBot="1" x14ac:dyDescent="0.35">
      <c r="A11" s="669" t="s">
        <v>150</v>
      </c>
      <c r="B11" s="669" t="s">
        <v>53</v>
      </c>
      <c r="C11" s="670">
        <f>'Működési kiadások'!M14</f>
        <v>137202422</v>
      </c>
      <c r="D11" s="756">
        <f>'Felhalmozási kiadások'!I98+'Működési kiadások'!M15</f>
        <v>149384449</v>
      </c>
      <c r="E11" s="288">
        <f>'Működési bevételek'!L14</f>
        <v>137202422</v>
      </c>
      <c r="F11" s="747">
        <f t="shared" si="0"/>
        <v>0</v>
      </c>
      <c r="N11" s="422">
        <f>'Működési bevételek'!L15</f>
        <v>149384449</v>
      </c>
      <c r="O11" s="422">
        <v>149384449</v>
      </c>
      <c r="P11" s="395">
        <f t="shared" si="1"/>
        <v>12182027</v>
      </c>
    </row>
    <row r="12" spans="1:16" ht="14.5" thickBot="1" x14ac:dyDescent="0.35">
      <c r="A12" s="669" t="s">
        <v>151</v>
      </c>
      <c r="B12" s="669" t="s">
        <v>54</v>
      </c>
      <c r="C12" s="670">
        <f>'Működési kiadások'!M16</f>
        <v>297237533</v>
      </c>
      <c r="D12" s="756">
        <f>'Működési kiadások'!M17</f>
        <v>323713864</v>
      </c>
      <c r="E12" s="288">
        <f>'Működési bevételek'!L16</f>
        <v>297237533</v>
      </c>
      <c r="F12" s="747">
        <f t="shared" si="0"/>
        <v>0</v>
      </c>
      <c r="N12" s="422">
        <f>'Működési bevételek'!L17</f>
        <v>323713864</v>
      </c>
      <c r="O12" s="422">
        <v>323713864</v>
      </c>
      <c r="P12" s="395">
        <f t="shared" si="1"/>
        <v>26476331</v>
      </c>
    </row>
    <row r="13" spans="1:16" ht="14.5" thickBot="1" x14ac:dyDescent="0.35">
      <c r="A13" s="669" t="s">
        <v>152</v>
      </c>
      <c r="B13" s="669" t="s">
        <v>55</v>
      </c>
      <c r="C13" s="670">
        <f>'Működési kiadások'!M18</f>
        <v>189032060</v>
      </c>
      <c r="D13" s="756">
        <f>'Felhalmozási kiadások'!I101+'Működési kiadások'!M19</f>
        <v>205497532</v>
      </c>
      <c r="E13" s="288">
        <f>'Működési bevételek'!L18</f>
        <v>189032060</v>
      </c>
      <c r="F13" s="747">
        <f>C13-E13</f>
        <v>0</v>
      </c>
      <c r="N13" s="422">
        <f>'Működési bevételek'!L19</f>
        <v>205497532</v>
      </c>
      <c r="O13" s="422">
        <v>205497532</v>
      </c>
      <c r="P13" s="395">
        <f t="shared" si="1"/>
        <v>16465472</v>
      </c>
    </row>
    <row r="14" spans="1:16" ht="14.5" thickBot="1" x14ac:dyDescent="0.35">
      <c r="A14" s="669"/>
      <c r="B14" s="667" t="s">
        <v>160</v>
      </c>
      <c r="C14" s="671">
        <f>SUM(C7:C13)</f>
        <v>1402371637</v>
      </c>
      <c r="D14" s="757">
        <f>SUM(D7:D13)</f>
        <v>1531080278</v>
      </c>
      <c r="E14" s="288">
        <f>SUM(E7:E13)</f>
        <v>1402371637</v>
      </c>
      <c r="N14" s="900">
        <f>SUM(N7:N13)</f>
        <v>1531080278</v>
      </c>
      <c r="O14" s="900">
        <f>SUM(O7:O13)</f>
        <v>1531080278</v>
      </c>
      <c r="P14" s="901">
        <f t="shared" si="1"/>
        <v>128708641</v>
      </c>
    </row>
    <row r="15" spans="1:16" ht="14.5" thickBot="1" x14ac:dyDescent="0.35">
      <c r="A15" s="667" t="s">
        <v>153</v>
      </c>
      <c r="B15" s="667" t="s">
        <v>183</v>
      </c>
      <c r="C15" s="671"/>
      <c r="D15" s="756"/>
      <c r="E15" s="288"/>
      <c r="P15" s="395">
        <f t="shared" si="1"/>
        <v>0</v>
      </c>
    </row>
    <row r="16" spans="1:16" ht="14.5" thickBot="1" x14ac:dyDescent="0.35">
      <c r="A16" s="669" t="s">
        <v>154</v>
      </c>
      <c r="B16" s="669" t="s">
        <v>57</v>
      </c>
      <c r="C16" s="670">
        <f>'Működési kiadások'!M24+'Felhalmozási kiadások'!I91</f>
        <v>187321259</v>
      </c>
      <c r="D16" s="756">
        <f>'Felhalmozási kiadások'!I92+'Működési kiadások'!M25</f>
        <v>196184365</v>
      </c>
      <c r="E16" s="288">
        <f>'Működési bevételek'!L24+'Felhalmozási bevételek'!L34</f>
        <v>187321259.31349999</v>
      </c>
      <c r="F16" s="747">
        <f t="shared" ref="F16:F17" si="2">E16-C16</f>
        <v>0.31349998712539673</v>
      </c>
      <c r="N16" s="422">
        <f>'Felhalmozási bevételek'!L35+'Működési bevételek'!L25</f>
        <v>196184365</v>
      </c>
      <c r="O16" s="422">
        <v>196184365</v>
      </c>
      <c r="P16" s="395">
        <f t="shared" si="1"/>
        <v>8863106</v>
      </c>
    </row>
    <row r="17" spans="1:16" ht="28.5" thickBot="1" x14ac:dyDescent="0.35">
      <c r="A17" s="669" t="s">
        <v>155</v>
      </c>
      <c r="B17" s="672" t="s">
        <v>827</v>
      </c>
      <c r="C17" s="670">
        <f>'Működési kiadások'!M22</f>
        <v>813029448</v>
      </c>
      <c r="D17" s="756">
        <f>'Felhalmozási kiadások'!I104+'Működési kiadások'!M23</f>
        <v>854832348</v>
      </c>
      <c r="E17" s="748">
        <f>'Működési bevételek'!L22</f>
        <v>813029447.58860004</v>
      </c>
      <c r="F17" s="747">
        <f t="shared" si="2"/>
        <v>-0.4113999605178833</v>
      </c>
      <c r="N17" s="422">
        <f>'Működési bevételek'!L23</f>
        <v>854832348</v>
      </c>
      <c r="O17" s="422">
        <v>854832348</v>
      </c>
      <c r="P17" s="395">
        <f t="shared" si="1"/>
        <v>41802900</v>
      </c>
    </row>
    <row r="18" spans="1:16" ht="14.5" thickBot="1" x14ac:dyDescent="0.35">
      <c r="A18" s="669"/>
      <c r="B18" s="667" t="s">
        <v>182</v>
      </c>
      <c r="C18" s="671">
        <f>C17+C16</f>
        <v>1000350707</v>
      </c>
      <c r="D18" s="757">
        <f>D17+D16</f>
        <v>1051016713</v>
      </c>
      <c r="E18" s="747"/>
      <c r="N18" s="900">
        <f>SUM(N16:N17)</f>
        <v>1051016713</v>
      </c>
      <c r="P18" s="395">
        <f t="shared" si="1"/>
        <v>-1000350707</v>
      </c>
    </row>
    <row r="19" spans="1:16" ht="14.5" thickBot="1" x14ac:dyDescent="0.35">
      <c r="A19" s="669" t="s">
        <v>828</v>
      </c>
      <c r="B19" s="667" t="s">
        <v>829</v>
      </c>
      <c r="C19" s="671"/>
      <c r="D19" s="756"/>
      <c r="E19" s="747"/>
      <c r="P19" s="395">
        <f t="shared" si="1"/>
        <v>0</v>
      </c>
    </row>
    <row r="20" spans="1:16" ht="14.5" thickBot="1" x14ac:dyDescent="0.35">
      <c r="A20" s="669" t="s">
        <v>830</v>
      </c>
      <c r="B20" s="669" t="s">
        <v>56</v>
      </c>
      <c r="C20" s="670">
        <f>'Működési kiadások'!M26+889000</f>
        <v>38484039</v>
      </c>
      <c r="D20" s="756">
        <f>'Működési kiadások'!M27+889000</f>
        <v>35386486</v>
      </c>
      <c r="E20" s="747">
        <f>'Működési bevételek'!L26+889000</f>
        <v>38484038</v>
      </c>
      <c r="N20" s="422">
        <f>'Működési bevételek'!L27+889000</f>
        <v>35386486</v>
      </c>
      <c r="O20" s="422">
        <v>35386486</v>
      </c>
      <c r="P20" s="395">
        <f t="shared" si="1"/>
        <v>-3097553</v>
      </c>
    </row>
    <row r="21" spans="1:16" ht="14.5" thickBot="1" x14ac:dyDescent="0.35">
      <c r="A21" s="669" t="s">
        <v>831</v>
      </c>
      <c r="B21" s="669" t="s">
        <v>832</v>
      </c>
      <c r="C21" s="670">
        <f>'Működési kiadások'!M28</f>
        <v>139735097</v>
      </c>
      <c r="D21" s="756">
        <f>'Működési kiadások'!M29+124991</f>
        <v>145391584</v>
      </c>
      <c r="E21" s="747">
        <f>'Működési bevételek'!L28</f>
        <v>139735096.5</v>
      </c>
      <c r="N21" s="422">
        <f>'Működési bevételek'!L29</f>
        <v>145391584</v>
      </c>
      <c r="O21" s="422">
        <v>145391584</v>
      </c>
      <c r="P21" s="395">
        <f t="shared" si="1"/>
        <v>5656487</v>
      </c>
    </row>
    <row r="22" spans="1:16" ht="14.5" thickBot="1" x14ac:dyDescent="0.35">
      <c r="A22" s="669" t="s">
        <v>833</v>
      </c>
      <c r="B22" s="669" t="s">
        <v>834</v>
      </c>
      <c r="C22" s="670">
        <f>'Működési kiadások'!M30+12700000-3-1</f>
        <v>1165851681</v>
      </c>
      <c r="D22" s="756">
        <f>'Működési kiadások'!M31+12700000</f>
        <v>1194108597</v>
      </c>
      <c r="E22" s="747">
        <f>'Működési bevételek'!L30+12700000</f>
        <v>1165851683.5</v>
      </c>
      <c r="N22" s="422">
        <f>'Működési bevételek'!L31+12700000</f>
        <v>1194108597</v>
      </c>
      <c r="O22" s="422">
        <v>1194108597</v>
      </c>
      <c r="P22" s="395">
        <f t="shared" si="1"/>
        <v>28256916</v>
      </c>
    </row>
    <row r="23" spans="1:16" ht="14.5" thickBot="1" x14ac:dyDescent="0.35">
      <c r="A23" s="669" t="s">
        <v>835</v>
      </c>
      <c r="B23" s="669" t="s">
        <v>829</v>
      </c>
      <c r="C23" s="670">
        <f>'Működési kiadások'!M32+635000</f>
        <v>282751321</v>
      </c>
      <c r="D23" s="756">
        <f>'Működési kiadások'!M33+635000</f>
        <v>290108989</v>
      </c>
      <c r="E23" s="747">
        <f>'Működési bevételek'!L32+635000</f>
        <v>282751320</v>
      </c>
      <c r="N23" s="422">
        <f>'Működési bevételek'!L33+635000+153500+1</f>
        <v>290262489</v>
      </c>
      <c r="O23" s="422">
        <v>290108989</v>
      </c>
      <c r="P23" s="395">
        <f t="shared" si="1"/>
        <v>7357668</v>
      </c>
    </row>
    <row r="24" spans="1:16" ht="28.5" thickBot="1" x14ac:dyDescent="0.35">
      <c r="A24" s="669" t="s">
        <v>836</v>
      </c>
      <c r="B24" s="672" t="s">
        <v>837</v>
      </c>
      <c r="C24" s="670">
        <f>'Működési kiadások'!M34</f>
        <v>0</v>
      </c>
      <c r="D24" s="756">
        <v>0</v>
      </c>
      <c r="E24" s="747">
        <v>0</v>
      </c>
      <c r="O24" s="422">
        <f t="shared" ref="O24" si="3">D24-C24</f>
        <v>0</v>
      </c>
      <c r="P24" s="395">
        <f t="shared" si="1"/>
        <v>0</v>
      </c>
    </row>
    <row r="25" spans="1:16" ht="28.5" thickBot="1" x14ac:dyDescent="0.35">
      <c r="A25" s="669"/>
      <c r="B25" s="673" t="s">
        <v>790</v>
      </c>
      <c r="C25" s="671">
        <f>SUM(C20:C24)+1</f>
        <v>1626822139</v>
      </c>
      <c r="D25" s="757">
        <f>SUM(D20:D24)-1</f>
        <v>1664995655</v>
      </c>
      <c r="E25" s="288">
        <f>'Működési bevételek'!L36+'Felhalmozási bevételek'!L36</f>
        <v>1626822138</v>
      </c>
      <c r="F25" s="747">
        <f>C25-E25</f>
        <v>1</v>
      </c>
      <c r="H25" s="8" t="s">
        <v>838</v>
      </c>
      <c r="N25" s="422">
        <f>'Működési bevételek'!L37+'Felhalmozási bevételek'!L37</f>
        <v>1664995655</v>
      </c>
      <c r="O25" s="422">
        <v>1664995655</v>
      </c>
      <c r="P25" s="395">
        <f t="shared" si="1"/>
        <v>38173516</v>
      </c>
    </row>
    <row r="26" spans="1:16" ht="14.5" thickBot="1" x14ac:dyDescent="0.35">
      <c r="A26" s="667" t="s">
        <v>156</v>
      </c>
      <c r="B26" s="667" t="s">
        <v>71</v>
      </c>
      <c r="C26" s="671">
        <f>'Működési kiadások'!M169+'Felhalmozási kiadások'!I108-1</f>
        <v>10975712992</v>
      </c>
      <c r="D26" s="820">
        <f>'Működési kiadások'!M173+'Felhalmozási kiadások'!I112</f>
        <v>11634930824</v>
      </c>
      <c r="E26" s="288">
        <f>'Működési bevételek'!L71+'Felhalmozási bevételek'!L43</f>
        <v>15347769491</v>
      </c>
      <c r="F26" s="747"/>
      <c r="H26" s="72">
        <v>4372056499</v>
      </c>
      <c r="J26" s="749">
        <f>H26-F26</f>
        <v>4372056499</v>
      </c>
      <c r="N26" s="422">
        <f>'Működési bevételek'!L72+'Felhalmozási bevételek'!L45-4648385258</f>
        <v>11634930825</v>
      </c>
      <c r="O26" s="422">
        <f>11502524472+132406352</f>
        <v>11634930824</v>
      </c>
      <c r="P26" s="395">
        <f t="shared" si="1"/>
        <v>659217832</v>
      </c>
    </row>
    <row r="27" spans="1:16" ht="14.5" thickBot="1" x14ac:dyDescent="0.35">
      <c r="A27" s="667" t="s">
        <v>292</v>
      </c>
      <c r="B27" s="667" t="s">
        <v>72</v>
      </c>
      <c r="C27" s="671">
        <f>'Működési kiadások'!M197+'Felhalmozási kiadások'!I79</f>
        <v>1067402835</v>
      </c>
      <c r="D27" s="820">
        <f>'Működési kiadások'!M201+'Felhalmozási kiadások'!I80</f>
        <v>1154774239</v>
      </c>
      <c r="E27" s="288">
        <f>'Működési bevételek'!L87+'Felhalmozási bevételek'!L38</f>
        <v>1067402834</v>
      </c>
      <c r="F27" s="747">
        <f t="shared" ref="F27" si="4">E27-C27</f>
        <v>-1</v>
      </c>
      <c r="H27" s="87">
        <f>E26-H26</f>
        <v>10975712992</v>
      </c>
      <c r="N27" s="422">
        <f>'Felhalmozási bevételek'!L39+'Működési bevételek'!L88</f>
        <v>1154774239</v>
      </c>
      <c r="O27" s="422">
        <v>1154774239</v>
      </c>
      <c r="P27" s="395">
        <f t="shared" si="1"/>
        <v>87371404</v>
      </c>
    </row>
    <row r="28" spans="1:16" ht="28.5" thickBot="1" x14ac:dyDescent="0.35">
      <c r="A28" s="667" t="s">
        <v>839</v>
      </c>
      <c r="B28" s="673" t="s">
        <v>279</v>
      </c>
      <c r="C28" s="671">
        <f>'Működési kiadások'!M216+'Felhalmozási kiadások'!I82</f>
        <v>107627268</v>
      </c>
      <c r="D28" s="821">
        <f>'Felhalmozási kiadások'!I83+'Működési kiadások'!M219</f>
        <v>116553622</v>
      </c>
      <c r="E28" s="288">
        <f>'Működési bevételek'!L97+'Felhalmozási bevételek'!L40</f>
        <v>107627267</v>
      </c>
      <c r="F28" s="747">
        <f t="shared" ref="F28" si="5">E28-C28</f>
        <v>-1</v>
      </c>
      <c r="N28" s="422">
        <f>'Felhalmozási bevételek'!L41+'Működési bevételek'!L98</f>
        <v>116553622</v>
      </c>
      <c r="O28" s="422">
        <v>116553622</v>
      </c>
      <c r="P28" s="395">
        <f t="shared" si="1"/>
        <v>8926354</v>
      </c>
    </row>
    <row r="29" spans="1:16" ht="16" thickBot="1" x14ac:dyDescent="0.4">
      <c r="A29" s="674" t="s">
        <v>73</v>
      </c>
      <c r="B29" s="675"/>
      <c r="C29" s="372">
        <f>SUM(C25:C28,C18,C14)-3</f>
        <v>16180287575</v>
      </c>
      <c r="D29" s="758">
        <f>SUM(D25:D28,D18,D14)</f>
        <v>17153351331</v>
      </c>
      <c r="E29" s="750">
        <f>SUM(E28+E27+E26+E25+E17+E16+E14)</f>
        <v>20552344073.9021</v>
      </c>
      <c r="F29" s="747">
        <f>E29-Mérleg!C34</f>
        <v>4372056498.9020996</v>
      </c>
      <c r="O29" s="422">
        <f>O14+O16+O17+O25+O26+O27+O28</f>
        <v>17153351331</v>
      </c>
      <c r="P29" s="395">
        <f t="shared" si="1"/>
        <v>973063756</v>
      </c>
    </row>
    <row r="30" spans="1:16" x14ac:dyDescent="0.25">
      <c r="A30" s="8"/>
      <c r="B30" s="8"/>
      <c r="C30" s="8"/>
      <c r="F30" s="288"/>
    </row>
    <row r="31" spans="1:16" ht="13" x14ac:dyDescent="0.3">
      <c r="A31" s="8"/>
      <c r="B31" s="8"/>
      <c r="C31" s="395">
        <f>C29-Mérleg!C34</f>
        <v>0</v>
      </c>
      <c r="E31" s="392" t="s">
        <v>840</v>
      </c>
      <c r="F31" s="751">
        <v>4372056499</v>
      </c>
      <c r="H31" s="8" t="s">
        <v>977</v>
      </c>
      <c r="N31" s="422">
        <v>4648385258</v>
      </c>
    </row>
    <row r="32" spans="1:16" x14ac:dyDescent="0.25">
      <c r="A32" s="8"/>
      <c r="B32" s="8"/>
      <c r="C32" s="8"/>
    </row>
    <row r="33" spans="1:6" x14ac:dyDescent="0.25">
      <c r="A33" s="8"/>
      <c r="B33" s="8"/>
      <c r="C33" s="87"/>
      <c r="E33" s="392" t="s">
        <v>178</v>
      </c>
      <c r="F33" s="747">
        <f>E29-F31</f>
        <v>16180287574.9021</v>
      </c>
    </row>
    <row r="34" spans="1:6" x14ac:dyDescent="0.25">
      <c r="A34" s="8"/>
      <c r="B34" s="8"/>
      <c r="C34" s="381"/>
    </row>
    <row r="35" spans="1:6" x14ac:dyDescent="0.25">
      <c r="A35" s="8"/>
      <c r="B35" s="8"/>
      <c r="C35" s="8"/>
    </row>
    <row r="36" spans="1:6" x14ac:dyDescent="0.25">
      <c r="A36" s="8"/>
      <c r="B36" s="8"/>
      <c r="C36" s="381"/>
    </row>
    <row r="37" spans="1:6" x14ac:dyDescent="0.25">
      <c r="A37" s="8"/>
      <c r="B37" s="8"/>
      <c r="C37" s="381"/>
    </row>
    <row r="38" spans="1:6" x14ac:dyDescent="0.25">
      <c r="A38" s="8"/>
      <c r="B38" s="8"/>
      <c r="C38" s="381"/>
    </row>
    <row r="39" spans="1:6" x14ac:dyDescent="0.25">
      <c r="A39" s="8"/>
      <c r="B39" s="8"/>
      <c r="C39" s="8"/>
    </row>
    <row r="40" spans="1:6" x14ac:dyDescent="0.25">
      <c r="A40" s="8"/>
      <c r="B40" s="8"/>
      <c r="C40" s="8"/>
    </row>
    <row r="41" spans="1:6" x14ac:dyDescent="0.25">
      <c r="A41" s="8"/>
      <c r="B41" s="8"/>
      <c r="C41" s="8"/>
    </row>
    <row r="42" spans="1:6" x14ac:dyDescent="0.25">
      <c r="A42" s="8"/>
      <c r="B42" s="8"/>
      <c r="C42" s="8"/>
    </row>
    <row r="43" spans="1:6" x14ac:dyDescent="0.25">
      <c r="A43" s="8"/>
      <c r="B43" s="8"/>
      <c r="C43" s="8"/>
    </row>
    <row r="44" spans="1:6" x14ac:dyDescent="0.25">
      <c r="A44" s="8"/>
      <c r="B44" s="8"/>
      <c r="C44" s="8"/>
    </row>
    <row r="45" spans="1:6" x14ac:dyDescent="0.25">
      <c r="A45" s="8"/>
      <c r="B45" s="8"/>
      <c r="C45" s="8"/>
    </row>
    <row r="46" spans="1:6" x14ac:dyDescent="0.25">
      <c r="A46" s="8"/>
      <c r="B46" s="8"/>
      <c r="C46" s="8"/>
    </row>
    <row r="47" spans="1:6" x14ac:dyDescent="0.25">
      <c r="A47" s="8"/>
      <c r="B47" s="8"/>
      <c r="C47" s="8"/>
    </row>
    <row r="48" spans="1:6" x14ac:dyDescent="0.25">
      <c r="A48" s="8"/>
      <c r="B48" s="8"/>
      <c r="C48" s="8"/>
    </row>
    <row r="49" spans="1:3" x14ac:dyDescent="0.25">
      <c r="A49" s="8"/>
      <c r="B49" s="8"/>
      <c r="C49" s="8"/>
    </row>
    <row r="50" spans="1:3" x14ac:dyDescent="0.25">
      <c r="A50" s="8"/>
      <c r="B50" s="8"/>
      <c r="C50" s="8"/>
    </row>
    <row r="51" spans="1:3" x14ac:dyDescent="0.25">
      <c r="A51" s="8"/>
      <c r="B51" s="8"/>
      <c r="C51" s="8"/>
    </row>
    <row r="52" spans="1:3" x14ac:dyDescent="0.25">
      <c r="A52" s="8"/>
      <c r="B52" s="8"/>
      <c r="C52" s="8"/>
    </row>
    <row r="53" spans="1:3" x14ac:dyDescent="0.25">
      <c r="A53" s="8"/>
      <c r="B53" s="8"/>
      <c r="C53" s="8"/>
    </row>
    <row r="54" spans="1:3" x14ac:dyDescent="0.25">
      <c r="A54" s="8"/>
      <c r="B54" s="8"/>
      <c r="C54" s="8"/>
    </row>
    <row r="55" spans="1:3" x14ac:dyDescent="0.25">
      <c r="A55" s="8"/>
      <c r="B55" s="8"/>
      <c r="C55" s="8"/>
    </row>
    <row r="56" spans="1:3" x14ac:dyDescent="0.25">
      <c r="A56" s="8"/>
      <c r="B56" s="8"/>
      <c r="C56" s="8"/>
    </row>
    <row r="57" spans="1:3" x14ac:dyDescent="0.25">
      <c r="A57" s="8"/>
      <c r="B57" s="8"/>
      <c r="C57" s="8"/>
    </row>
    <row r="58" spans="1:3" x14ac:dyDescent="0.25">
      <c r="A58" s="8"/>
      <c r="B58" s="8"/>
      <c r="C58" s="8"/>
    </row>
    <row r="59" spans="1:3" x14ac:dyDescent="0.25">
      <c r="A59" s="8"/>
      <c r="B59" s="8"/>
      <c r="C59" s="8"/>
    </row>
    <row r="60" spans="1:3" x14ac:dyDescent="0.25">
      <c r="A60" s="8"/>
      <c r="B60" s="8"/>
      <c r="C60" s="8"/>
    </row>
    <row r="61" spans="1:3" x14ac:dyDescent="0.25">
      <c r="A61" s="8"/>
      <c r="B61" s="8"/>
      <c r="C61" s="8"/>
    </row>
    <row r="62" spans="1:3" x14ac:dyDescent="0.25">
      <c r="A62" s="8"/>
      <c r="B62" s="8"/>
      <c r="C62" s="8"/>
    </row>
    <row r="63" spans="1:3" x14ac:dyDescent="0.25">
      <c r="A63" s="8"/>
      <c r="B63" s="8"/>
      <c r="C63" s="8"/>
    </row>
    <row r="64" spans="1:3" x14ac:dyDescent="0.25">
      <c r="A64" s="8"/>
      <c r="B64" s="8"/>
      <c r="C64" s="8"/>
    </row>
    <row r="65" spans="1:3" x14ac:dyDescent="0.25">
      <c r="A65" s="8"/>
      <c r="B65" s="8"/>
      <c r="C65" s="8"/>
    </row>
    <row r="66" spans="1:3" x14ac:dyDescent="0.25">
      <c r="A66" s="8"/>
      <c r="B66" s="8"/>
      <c r="C66" s="8"/>
    </row>
    <row r="67" spans="1:3" x14ac:dyDescent="0.25">
      <c r="A67" s="8"/>
      <c r="B67" s="8"/>
      <c r="C67" s="8"/>
    </row>
    <row r="68" spans="1:3" x14ac:dyDescent="0.25">
      <c r="A68" s="8"/>
      <c r="B68" s="8"/>
      <c r="C68" s="8"/>
    </row>
    <row r="69" spans="1:3" x14ac:dyDescent="0.25">
      <c r="A69" s="8"/>
      <c r="B69" s="8"/>
      <c r="C69" s="8"/>
    </row>
    <row r="70" spans="1:3" x14ac:dyDescent="0.25">
      <c r="A70" s="8"/>
      <c r="B70" s="8"/>
      <c r="C70" s="8"/>
    </row>
    <row r="71" spans="1:3" x14ac:dyDescent="0.25">
      <c r="A71" s="8"/>
      <c r="B71" s="8"/>
      <c r="C71" s="8"/>
    </row>
    <row r="72" spans="1:3" x14ac:dyDescent="0.25">
      <c r="A72" s="8"/>
      <c r="B72" s="8"/>
      <c r="C72" s="8"/>
    </row>
    <row r="73" spans="1:3" x14ac:dyDescent="0.25">
      <c r="A73" s="8"/>
      <c r="B73" s="8"/>
      <c r="C73" s="8"/>
    </row>
    <row r="74" spans="1:3" x14ac:dyDescent="0.25">
      <c r="A74" s="8"/>
      <c r="B74" s="8"/>
      <c r="C74" s="8"/>
    </row>
    <row r="75" spans="1:3" x14ac:dyDescent="0.25">
      <c r="A75" s="8"/>
      <c r="B75" s="8"/>
      <c r="C75" s="8"/>
    </row>
    <row r="76" spans="1:3" x14ac:dyDescent="0.25">
      <c r="A76" s="8"/>
      <c r="B76" s="8"/>
      <c r="C76" s="8"/>
    </row>
    <row r="77" spans="1:3" x14ac:dyDescent="0.25">
      <c r="A77" s="8"/>
      <c r="B77" s="8"/>
      <c r="C77" s="8"/>
    </row>
    <row r="78" spans="1:3" x14ac:dyDescent="0.25">
      <c r="A78" s="8"/>
      <c r="B78" s="8"/>
      <c r="C78" s="8"/>
    </row>
    <row r="79" spans="1:3" x14ac:dyDescent="0.25">
      <c r="A79" s="8"/>
      <c r="B79" s="8"/>
      <c r="C79" s="8"/>
    </row>
    <row r="80" spans="1:3" x14ac:dyDescent="0.25">
      <c r="A80" s="8"/>
      <c r="B80" s="8"/>
      <c r="C80" s="8"/>
    </row>
    <row r="81" spans="1:3" x14ac:dyDescent="0.25">
      <c r="A81" s="8"/>
      <c r="B81" s="8"/>
      <c r="C81" s="8"/>
    </row>
    <row r="82" spans="1:3" x14ac:dyDescent="0.25">
      <c r="A82" s="8"/>
      <c r="B82" s="8"/>
      <c r="C82" s="8"/>
    </row>
    <row r="83" spans="1:3" x14ac:dyDescent="0.25">
      <c r="A83" s="8"/>
      <c r="B83" s="8"/>
      <c r="C83" s="8"/>
    </row>
    <row r="84" spans="1:3" x14ac:dyDescent="0.25">
      <c r="A84" s="8"/>
      <c r="B84" s="8"/>
      <c r="C84" s="8"/>
    </row>
    <row r="85" spans="1:3" x14ac:dyDescent="0.25">
      <c r="A85" s="8"/>
      <c r="B85" s="8"/>
      <c r="C85" s="8"/>
    </row>
    <row r="86" spans="1:3" x14ac:dyDescent="0.25">
      <c r="A86" s="8"/>
      <c r="B86" s="8"/>
      <c r="C86" s="8"/>
    </row>
    <row r="87" spans="1:3" x14ac:dyDescent="0.25">
      <c r="A87" s="8"/>
      <c r="B87" s="8"/>
      <c r="C87" s="8"/>
    </row>
    <row r="88" spans="1:3" x14ac:dyDescent="0.25">
      <c r="A88" s="8"/>
      <c r="B88" s="8"/>
      <c r="C88" s="8"/>
    </row>
    <row r="89" spans="1:3" x14ac:dyDescent="0.25">
      <c r="A89" s="8"/>
      <c r="B89" s="8"/>
      <c r="C89" s="8"/>
    </row>
    <row r="90" spans="1:3" x14ac:dyDescent="0.25">
      <c r="A90" s="8"/>
      <c r="B90" s="8"/>
      <c r="C90" s="8"/>
    </row>
    <row r="91" spans="1:3" x14ac:dyDescent="0.25">
      <c r="A91" s="8"/>
      <c r="B91" s="8"/>
      <c r="C91" s="8"/>
    </row>
    <row r="92" spans="1:3" x14ac:dyDescent="0.25">
      <c r="A92" s="8"/>
      <c r="B92" s="8"/>
      <c r="C92" s="8"/>
    </row>
    <row r="93" spans="1:3" x14ac:dyDescent="0.25">
      <c r="A93" s="8"/>
      <c r="B93" s="8"/>
      <c r="C93" s="8"/>
    </row>
    <row r="94" spans="1:3" x14ac:dyDescent="0.25">
      <c r="A94" s="8"/>
      <c r="B94" s="8"/>
      <c r="C94" s="8"/>
    </row>
    <row r="95" spans="1:3" x14ac:dyDescent="0.25">
      <c r="A95" s="8"/>
      <c r="B95" s="8"/>
      <c r="C95" s="8"/>
    </row>
    <row r="96" spans="1:3" x14ac:dyDescent="0.25">
      <c r="A96" s="8"/>
      <c r="B96" s="8"/>
      <c r="C96" s="8"/>
    </row>
    <row r="97" spans="1:3" x14ac:dyDescent="0.25">
      <c r="A97" s="8"/>
      <c r="B97" s="8"/>
      <c r="C97" s="8"/>
    </row>
    <row r="98" spans="1:3" x14ac:dyDescent="0.25">
      <c r="A98" s="8"/>
      <c r="B98" s="8"/>
      <c r="C98" s="8"/>
    </row>
    <row r="99" spans="1:3" x14ac:dyDescent="0.25">
      <c r="A99" s="8"/>
      <c r="B99" s="8"/>
      <c r="C99" s="8"/>
    </row>
    <row r="100" spans="1:3" x14ac:dyDescent="0.25">
      <c r="A100" s="8"/>
      <c r="B100" s="8"/>
      <c r="C100" s="8"/>
    </row>
    <row r="101" spans="1:3" x14ac:dyDescent="0.25">
      <c r="A101" s="8"/>
      <c r="B101" s="8"/>
      <c r="C101" s="8"/>
    </row>
    <row r="102" spans="1:3" x14ac:dyDescent="0.25">
      <c r="A102" s="8"/>
      <c r="B102" s="8"/>
      <c r="C102" s="8"/>
    </row>
    <row r="103" spans="1:3" x14ac:dyDescent="0.25">
      <c r="A103" s="8"/>
      <c r="B103" s="8"/>
      <c r="C103" s="8"/>
    </row>
    <row r="104" spans="1:3" x14ac:dyDescent="0.25">
      <c r="A104" s="8"/>
      <c r="B104" s="8"/>
      <c r="C104" s="8"/>
    </row>
    <row r="105" spans="1:3" x14ac:dyDescent="0.25">
      <c r="A105" s="8"/>
      <c r="B105" s="8"/>
      <c r="C105" s="8"/>
    </row>
    <row r="106" spans="1:3" x14ac:dyDescent="0.25">
      <c r="A106" s="8"/>
      <c r="B106" s="8"/>
      <c r="C106" s="8"/>
    </row>
    <row r="107" spans="1:3" x14ac:dyDescent="0.25">
      <c r="A107" s="8"/>
      <c r="B107" s="8"/>
      <c r="C107" s="8"/>
    </row>
    <row r="108" spans="1:3" x14ac:dyDescent="0.25">
      <c r="A108" s="8"/>
      <c r="B108" s="8"/>
      <c r="C108" s="8"/>
    </row>
    <row r="109" spans="1:3" x14ac:dyDescent="0.25">
      <c r="A109" s="8"/>
      <c r="B109" s="8"/>
      <c r="C109" s="8"/>
    </row>
    <row r="110" spans="1:3" x14ac:dyDescent="0.25">
      <c r="A110" s="8"/>
      <c r="B110" s="8"/>
      <c r="C110" s="8"/>
    </row>
    <row r="111" spans="1:3" x14ac:dyDescent="0.25">
      <c r="A111" s="8"/>
      <c r="B111" s="8"/>
      <c r="C111" s="8"/>
    </row>
    <row r="112" spans="1:3" x14ac:dyDescent="0.25">
      <c r="A112" s="8"/>
      <c r="B112" s="8"/>
      <c r="C112" s="8"/>
    </row>
    <row r="113" spans="1:3" x14ac:dyDescent="0.25">
      <c r="A113" s="8"/>
      <c r="B113" s="8"/>
      <c r="C113" s="8"/>
    </row>
    <row r="114" spans="1:3" x14ac:dyDescent="0.25">
      <c r="A114" s="8"/>
      <c r="B114" s="8"/>
      <c r="C114" s="8"/>
    </row>
    <row r="115" spans="1:3" x14ac:dyDescent="0.25">
      <c r="A115" s="8"/>
      <c r="B115" s="8"/>
      <c r="C115" s="8"/>
    </row>
    <row r="116" spans="1:3" x14ac:dyDescent="0.25">
      <c r="A116" s="8"/>
      <c r="B116" s="8"/>
      <c r="C116" s="8"/>
    </row>
    <row r="117" spans="1:3" x14ac:dyDescent="0.25">
      <c r="A117" s="8"/>
      <c r="B117" s="8"/>
      <c r="C117" s="8"/>
    </row>
    <row r="118" spans="1:3" x14ac:dyDescent="0.25">
      <c r="A118" s="8"/>
      <c r="B118" s="8"/>
      <c r="C118" s="8"/>
    </row>
    <row r="119" spans="1:3" x14ac:dyDescent="0.25">
      <c r="A119" s="8"/>
      <c r="B119" s="8"/>
      <c r="C119" s="8"/>
    </row>
    <row r="120" spans="1:3" x14ac:dyDescent="0.25">
      <c r="A120" s="8"/>
      <c r="B120" s="8"/>
      <c r="C120" s="8"/>
    </row>
    <row r="121" spans="1:3" x14ac:dyDescent="0.25">
      <c r="A121" s="8"/>
      <c r="B121" s="8"/>
      <c r="C121" s="8"/>
    </row>
    <row r="122" spans="1:3" x14ac:dyDescent="0.25">
      <c r="A122" s="8"/>
      <c r="B122" s="8"/>
      <c r="C122" s="8"/>
    </row>
    <row r="123" spans="1:3" x14ac:dyDescent="0.25">
      <c r="A123" s="8"/>
      <c r="B123" s="8"/>
      <c r="C123" s="8"/>
    </row>
    <row r="124" spans="1:3" x14ac:dyDescent="0.25">
      <c r="A124" s="8"/>
      <c r="B124" s="8"/>
      <c r="C124" s="8"/>
    </row>
    <row r="125" spans="1:3" x14ac:dyDescent="0.25">
      <c r="A125" s="8"/>
      <c r="B125" s="8"/>
      <c r="C125" s="8"/>
    </row>
    <row r="126" spans="1:3" x14ac:dyDescent="0.25">
      <c r="A126" s="8"/>
      <c r="B126" s="8"/>
      <c r="C126" s="8"/>
    </row>
    <row r="127" spans="1:3" x14ac:dyDescent="0.25">
      <c r="A127" s="8"/>
      <c r="B127" s="8"/>
      <c r="C127" s="8"/>
    </row>
    <row r="128" spans="1:3" x14ac:dyDescent="0.25">
      <c r="A128" s="8"/>
      <c r="B128" s="8"/>
      <c r="C128" s="8"/>
    </row>
    <row r="129" spans="1:3" x14ac:dyDescent="0.25">
      <c r="A129" s="8"/>
      <c r="B129" s="8"/>
      <c r="C129" s="8"/>
    </row>
    <row r="130" spans="1:3" x14ac:dyDescent="0.25">
      <c r="A130" s="8"/>
      <c r="B130" s="8"/>
      <c r="C130" s="8"/>
    </row>
    <row r="131" spans="1:3" x14ac:dyDescent="0.25">
      <c r="A131" s="8"/>
      <c r="B131" s="8"/>
      <c r="C131" s="8"/>
    </row>
    <row r="132" spans="1:3" x14ac:dyDescent="0.25">
      <c r="A132" s="8"/>
      <c r="B132" s="8"/>
      <c r="C132" s="8"/>
    </row>
    <row r="133" spans="1:3" x14ac:dyDescent="0.25">
      <c r="A133" s="8"/>
      <c r="B133" s="8"/>
      <c r="C133" s="8"/>
    </row>
    <row r="134" spans="1:3" x14ac:dyDescent="0.25">
      <c r="A134" s="8"/>
      <c r="B134" s="8"/>
      <c r="C134" s="8"/>
    </row>
    <row r="135" spans="1:3" x14ac:dyDescent="0.25">
      <c r="A135" s="8"/>
      <c r="B135" s="8"/>
      <c r="C135" s="8"/>
    </row>
    <row r="136" spans="1:3" x14ac:dyDescent="0.25">
      <c r="A136" s="8"/>
      <c r="B136" s="8"/>
      <c r="C136" s="8"/>
    </row>
    <row r="137" spans="1:3" x14ac:dyDescent="0.25">
      <c r="A137" s="8"/>
      <c r="B137" s="8"/>
      <c r="C137" s="8"/>
    </row>
    <row r="138" spans="1:3" x14ac:dyDescent="0.25">
      <c r="A138" s="8"/>
      <c r="B138" s="8"/>
      <c r="C138" s="8"/>
    </row>
    <row r="139" spans="1:3" x14ac:dyDescent="0.25">
      <c r="A139" s="8"/>
      <c r="B139" s="8"/>
      <c r="C139" s="8"/>
    </row>
    <row r="140" spans="1:3" x14ac:dyDescent="0.25">
      <c r="A140" s="8"/>
      <c r="B140" s="8"/>
      <c r="C140" s="8"/>
    </row>
    <row r="141" spans="1:3" x14ac:dyDescent="0.25">
      <c r="A141" s="8"/>
      <c r="B141" s="8"/>
      <c r="C141" s="8"/>
    </row>
    <row r="142" spans="1:3" x14ac:dyDescent="0.25">
      <c r="A142" s="8"/>
      <c r="B142" s="8"/>
      <c r="C142" s="8"/>
    </row>
    <row r="143" spans="1:3" x14ac:dyDescent="0.25">
      <c r="A143" s="8"/>
      <c r="B143" s="8"/>
      <c r="C143" s="8"/>
    </row>
    <row r="144" spans="1:3" x14ac:dyDescent="0.25">
      <c r="A144" s="8"/>
      <c r="B144" s="8"/>
      <c r="C144" s="8"/>
    </row>
    <row r="145" spans="1:3" x14ac:dyDescent="0.25">
      <c r="A145" s="8"/>
      <c r="B145" s="8"/>
      <c r="C145" s="8"/>
    </row>
    <row r="146" spans="1:3" x14ac:dyDescent="0.25">
      <c r="A146" s="8"/>
      <c r="B146" s="8"/>
      <c r="C146" s="8"/>
    </row>
    <row r="147" spans="1:3" x14ac:dyDescent="0.25">
      <c r="A147" s="8"/>
      <c r="B147" s="8"/>
      <c r="C147" s="8"/>
    </row>
    <row r="148" spans="1:3" x14ac:dyDescent="0.25">
      <c r="A148" s="8"/>
      <c r="B148" s="8"/>
      <c r="C148" s="8"/>
    </row>
    <row r="149" spans="1:3" x14ac:dyDescent="0.25">
      <c r="A149" s="8"/>
      <c r="B149" s="8"/>
      <c r="C149" s="8"/>
    </row>
    <row r="150" spans="1:3" x14ac:dyDescent="0.25">
      <c r="A150" s="8"/>
      <c r="B150" s="8"/>
      <c r="C150" s="8"/>
    </row>
    <row r="151" spans="1:3" x14ac:dyDescent="0.25">
      <c r="A151" s="8"/>
      <c r="B151" s="8"/>
      <c r="C151" s="8"/>
    </row>
    <row r="152" spans="1:3" x14ac:dyDescent="0.25">
      <c r="A152" s="8"/>
      <c r="B152" s="8"/>
      <c r="C152" s="8"/>
    </row>
    <row r="153" spans="1:3" x14ac:dyDescent="0.25">
      <c r="A153" s="8"/>
      <c r="B153" s="8"/>
      <c r="C153" s="8"/>
    </row>
    <row r="154" spans="1:3" x14ac:dyDescent="0.25">
      <c r="A154" s="8"/>
      <c r="B154" s="8"/>
      <c r="C154" s="8"/>
    </row>
    <row r="155" spans="1:3" x14ac:dyDescent="0.25">
      <c r="A155" s="8"/>
      <c r="B155" s="8"/>
      <c r="C155" s="8"/>
    </row>
    <row r="156" spans="1:3" x14ac:dyDescent="0.25">
      <c r="A156" s="8"/>
      <c r="B156" s="8"/>
      <c r="C156" s="8"/>
    </row>
    <row r="157" spans="1:3" x14ac:dyDescent="0.25">
      <c r="A157" s="8"/>
      <c r="B157" s="8"/>
      <c r="C157" s="8"/>
    </row>
    <row r="158" spans="1:3" x14ac:dyDescent="0.25">
      <c r="A158" s="8"/>
      <c r="B158" s="8"/>
      <c r="C158" s="8"/>
    </row>
    <row r="159" spans="1:3" x14ac:dyDescent="0.25">
      <c r="A159" s="8"/>
      <c r="B159" s="8"/>
      <c r="C159" s="8"/>
    </row>
    <row r="160" spans="1:3" x14ac:dyDescent="0.25">
      <c r="A160" s="8"/>
      <c r="B160" s="8"/>
      <c r="C160" s="8"/>
    </row>
    <row r="161" spans="1:3" x14ac:dyDescent="0.25">
      <c r="A161" s="8"/>
      <c r="B161" s="8"/>
      <c r="C161" s="8"/>
    </row>
    <row r="162" spans="1:3" x14ac:dyDescent="0.25">
      <c r="A162" s="8"/>
      <c r="B162" s="8"/>
      <c r="C162" s="8"/>
    </row>
    <row r="163" spans="1:3" x14ac:dyDescent="0.25">
      <c r="A163" s="8"/>
      <c r="B163" s="8"/>
      <c r="C163" s="8"/>
    </row>
    <row r="164" spans="1:3" x14ac:dyDescent="0.25">
      <c r="A164" s="8"/>
      <c r="B164" s="8"/>
      <c r="C164" s="8"/>
    </row>
    <row r="165" spans="1:3" x14ac:dyDescent="0.25">
      <c r="A165" s="8"/>
      <c r="B165" s="8"/>
      <c r="C165" s="8"/>
    </row>
    <row r="166" spans="1:3" x14ac:dyDescent="0.25">
      <c r="A166" s="8"/>
      <c r="B166" s="8"/>
      <c r="C166" s="8"/>
    </row>
    <row r="167" spans="1:3" x14ac:dyDescent="0.25">
      <c r="A167" s="8"/>
      <c r="B167" s="8"/>
      <c r="C167" s="8"/>
    </row>
    <row r="168" spans="1:3" x14ac:dyDescent="0.25">
      <c r="A168" s="8"/>
      <c r="B168" s="8"/>
      <c r="C168" s="8"/>
    </row>
    <row r="169" spans="1:3" x14ac:dyDescent="0.25">
      <c r="A169" s="8"/>
      <c r="B169" s="8"/>
      <c r="C169" s="8"/>
    </row>
    <row r="170" spans="1:3" x14ac:dyDescent="0.25">
      <c r="A170" s="8"/>
      <c r="B170" s="8"/>
      <c r="C170" s="8"/>
    </row>
    <row r="171" spans="1:3" x14ac:dyDescent="0.25">
      <c r="A171" s="8"/>
      <c r="B171" s="8"/>
      <c r="C171" s="8"/>
    </row>
    <row r="172" spans="1:3" x14ac:dyDescent="0.25">
      <c r="A172" s="8"/>
      <c r="B172" s="8"/>
      <c r="C172" s="8"/>
    </row>
    <row r="173" spans="1:3" x14ac:dyDescent="0.25">
      <c r="A173" s="8"/>
      <c r="B173" s="8"/>
      <c r="C173" s="8"/>
    </row>
    <row r="174" spans="1:3" x14ac:dyDescent="0.25">
      <c r="A174" s="8"/>
      <c r="B174" s="8"/>
      <c r="C174" s="8"/>
    </row>
    <row r="175" spans="1:3" x14ac:dyDescent="0.25">
      <c r="A175" s="8"/>
      <c r="B175" s="8"/>
      <c r="C175" s="8"/>
    </row>
    <row r="176" spans="1:3" x14ac:dyDescent="0.25">
      <c r="A176" s="8"/>
      <c r="B176" s="8"/>
      <c r="C176" s="8"/>
    </row>
    <row r="177" spans="1:3" x14ac:dyDescent="0.25">
      <c r="A177" s="8"/>
      <c r="B177" s="8"/>
      <c r="C177" s="8"/>
    </row>
    <row r="178" spans="1:3" x14ac:dyDescent="0.25">
      <c r="A178" s="8"/>
      <c r="B178" s="8"/>
      <c r="C178" s="8"/>
    </row>
    <row r="179" spans="1:3" x14ac:dyDescent="0.25">
      <c r="A179" s="8"/>
      <c r="B179" s="8"/>
      <c r="C179" s="8"/>
    </row>
    <row r="180" spans="1:3" x14ac:dyDescent="0.25">
      <c r="A180" s="8"/>
      <c r="B180" s="8"/>
      <c r="C180" s="8"/>
    </row>
    <row r="181" spans="1:3" x14ac:dyDescent="0.25">
      <c r="A181" s="8"/>
      <c r="B181" s="8"/>
      <c r="C181" s="8"/>
    </row>
    <row r="182" spans="1:3" x14ac:dyDescent="0.25">
      <c r="A182" s="8"/>
      <c r="B182" s="8"/>
      <c r="C182" s="8"/>
    </row>
    <row r="183" spans="1:3" x14ac:dyDescent="0.25">
      <c r="A183" s="8"/>
      <c r="B183" s="8"/>
      <c r="C183" s="8"/>
    </row>
    <row r="184" spans="1:3" x14ac:dyDescent="0.25">
      <c r="A184" s="8"/>
      <c r="B184" s="8"/>
      <c r="C184" s="8"/>
    </row>
    <row r="185" spans="1:3" x14ac:dyDescent="0.25">
      <c r="A185" s="8"/>
      <c r="B185" s="8"/>
      <c r="C185" s="8"/>
    </row>
    <row r="186" spans="1:3" x14ac:dyDescent="0.25">
      <c r="A186" s="8"/>
      <c r="B186" s="8"/>
      <c r="C186" s="8"/>
    </row>
    <row r="187" spans="1:3" x14ac:dyDescent="0.25">
      <c r="A187" s="8"/>
      <c r="B187" s="8"/>
      <c r="C187" s="8"/>
    </row>
    <row r="188" spans="1:3" x14ac:dyDescent="0.25">
      <c r="A188" s="8"/>
      <c r="B188" s="8"/>
      <c r="C188" s="8"/>
    </row>
    <row r="189" spans="1:3" x14ac:dyDescent="0.25">
      <c r="A189" s="8"/>
      <c r="B189" s="8"/>
      <c r="C189" s="8"/>
    </row>
    <row r="190" spans="1:3" x14ac:dyDescent="0.25">
      <c r="A190" s="8"/>
      <c r="B190" s="8"/>
      <c r="C190" s="8"/>
    </row>
    <row r="191" spans="1:3" x14ac:dyDescent="0.25">
      <c r="A191" s="8"/>
      <c r="B191" s="8"/>
      <c r="C191" s="8"/>
    </row>
    <row r="192" spans="1:3" x14ac:dyDescent="0.25">
      <c r="A192" s="8"/>
      <c r="B192" s="8"/>
      <c r="C192" s="8"/>
    </row>
    <row r="193" spans="1:3" x14ac:dyDescent="0.25">
      <c r="A193" s="8"/>
      <c r="B193" s="8"/>
      <c r="C193" s="8"/>
    </row>
    <row r="194" spans="1:3" x14ac:dyDescent="0.25">
      <c r="A194" s="8"/>
      <c r="B194" s="8"/>
      <c r="C194" s="8"/>
    </row>
    <row r="195" spans="1:3" x14ac:dyDescent="0.25">
      <c r="A195" s="8"/>
      <c r="B195" s="8"/>
      <c r="C195" s="8"/>
    </row>
    <row r="196" spans="1:3" x14ac:dyDescent="0.25">
      <c r="A196" s="8"/>
      <c r="B196" s="8"/>
      <c r="C196" s="8"/>
    </row>
    <row r="197" spans="1:3" x14ac:dyDescent="0.25">
      <c r="A197" s="8"/>
      <c r="B197" s="8"/>
      <c r="C197" s="8"/>
    </row>
    <row r="198" spans="1:3" x14ac:dyDescent="0.25">
      <c r="A198" s="8"/>
      <c r="B198" s="8"/>
      <c r="C198" s="8"/>
    </row>
    <row r="199" spans="1:3" x14ac:dyDescent="0.25">
      <c r="A199" s="8"/>
      <c r="B199" s="8"/>
      <c r="C199" s="8"/>
    </row>
    <row r="200" spans="1:3" x14ac:dyDescent="0.25">
      <c r="A200" s="8"/>
      <c r="B200" s="8"/>
      <c r="C200" s="8"/>
    </row>
    <row r="201" spans="1:3" x14ac:dyDescent="0.25">
      <c r="A201" s="8"/>
      <c r="B201" s="8"/>
      <c r="C201" s="8"/>
    </row>
    <row r="202" spans="1:3" x14ac:dyDescent="0.25">
      <c r="A202" s="8"/>
      <c r="B202" s="8"/>
      <c r="C202" s="8"/>
    </row>
    <row r="203" spans="1:3" x14ac:dyDescent="0.25">
      <c r="A203" s="8"/>
      <c r="B203" s="8"/>
      <c r="C203" s="8"/>
    </row>
    <row r="204" spans="1:3" x14ac:dyDescent="0.25">
      <c r="A204" s="8"/>
      <c r="B204" s="8"/>
      <c r="C204" s="8"/>
    </row>
    <row r="205" spans="1:3" x14ac:dyDescent="0.25">
      <c r="A205" s="8"/>
      <c r="B205" s="8"/>
      <c r="C205" s="8"/>
    </row>
    <row r="206" spans="1:3" x14ac:dyDescent="0.25">
      <c r="A206" s="8"/>
      <c r="B206" s="8"/>
      <c r="C206" s="8"/>
    </row>
  </sheetData>
  <mergeCells count="2">
    <mergeCell ref="A1:C1"/>
    <mergeCell ref="A2:D2"/>
  </mergeCells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12</vt:i4>
      </vt:variant>
    </vt:vector>
  </HeadingPairs>
  <TitlesOfParts>
    <vt:vector size="29" baseType="lpstr">
      <vt:lpstr>Tartalom</vt:lpstr>
      <vt:lpstr>Mérleg</vt:lpstr>
      <vt:lpstr>Működési bevételek</vt:lpstr>
      <vt:lpstr>Felhalmozási bevételek</vt:lpstr>
      <vt:lpstr>Működési kiadások</vt:lpstr>
      <vt:lpstr>Felhalmozási kiadások</vt:lpstr>
      <vt:lpstr>Állami támogatások </vt:lpstr>
      <vt:lpstr>támogatások</vt:lpstr>
      <vt:lpstr>Címrend</vt:lpstr>
      <vt:lpstr>Létszámok </vt:lpstr>
      <vt:lpstr>Közvetett támogatások</vt:lpstr>
      <vt:lpstr>Finanszírozás</vt:lpstr>
      <vt:lpstr>Gördülő tervezés</vt:lpstr>
      <vt:lpstr> hitel</vt:lpstr>
      <vt:lpstr>Többéves </vt:lpstr>
      <vt:lpstr>Saját bevételek részletezése</vt:lpstr>
      <vt:lpstr>Adósságot keletkeztető fejleszt</vt:lpstr>
      <vt:lpstr>' hitel'!Nyomtatási_terület</vt:lpstr>
      <vt:lpstr>'Állami támogatások '!Nyomtatási_terület</vt:lpstr>
      <vt:lpstr>Címrend!Nyomtatási_terület</vt:lpstr>
      <vt:lpstr>'Felhalmozási bevételek'!Nyomtatási_terület</vt:lpstr>
      <vt:lpstr>'Felhalmozási kiadások'!Nyomtatási_terület</vt:lpstr>
      <vt:lpstr>Finanszírozás!Nyomtatási_terület</vt:lpstr>
      <vt:lpstr>'Létszámok '!Nyomtatási_terület</vt:lpstr>
      <vt:lpstr>'Működési bevételek'!Nyomtatási_terület</vt:lpstr>
      <vt:lpstr>'Működési kiadások'!Nyomtatási_terület</vt:lpstr>
      <vt:lpstr>'Saját bevételek részletezése'!Nyomtatási_terület</vt:lpstr>
      <vt:lpstr>támogatások!Nyomtatási_terület</vt:lpstr>
      <vt:lpstr>'Többéves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Szabóné Molnár Ildikó</dc:creator>
  <cp:lastModifiedBy>Molnárné Nagy Edina</cp:lastModifiedBy>
  <cp:lastPrinted>2024-09-02T11:20:49Z</cp:lastPrinted>
  <dcterms:created xsi:type="dcterms:W3CDTF">2012-07-24T10:47:23Z</dcterms:created>
  <dcterms:modified xsi:type="dcterms:W3CDTF">2024-09-03T12:55:30Z</dcterms:modified>
</cp:coreProperties>
</file>