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U:\Előterjesztések\költségvetési rendelet 2024\I. félév\Rendelet\"/>
    </mc:Choice>
  </mc:AlternateContent>
  <xr:revisionPtr revIDLastSave="0" documentId="13_ncr:1_{DBFF2843-CFC1-4A25-81FC-C6C392445142}" xr6:coauthVersionLast="36" xr6:coauthVersionMax="36" xr10:uidLastSave="{00000000-0000-0000-0000-000000000000}"/>
  <bookViews>
    <workbookView xWindow="480" yWindow="1680" windowWidth="11360" windowHeight="2860" activeTab="2" xr2:uid="{00000000-000D-0000-FFFF-FFFF00000000}"/>
  </bookViews>
  <sheets>
    <sheet name="Közp. ei-mód." sheetId="25" r:id="rId1"/>
    <sheet name="Felügy. szervi ei-mód." sheetId="28" r:id="rId2"/>
    <sheet name="Ei-mód. össz." sheetId="27" r:id="rId3"/>
    <sheet name="Munka1" sheetId="29" r:id="rId4"/>
  </sheets>
  <definedNames>
    <definedName name="_xlnm.Print_Area" localSheetId="1">'Felügy. szervi ei-mód.'!$A$1:$K$39</definedName>
  </definedNames>
  <calcPr calcId="191029"/>
</workbook>
</file>

<file path=xl/calcChain.xml><?xml version="1.0" encoding="utf-8"?>
<calcChain xmlns="http://schemas.openxmlformats.org/spreadsheetml/2006/main">
  <c r="F20" i="27" l="1"/>
  <c r="F11" i="27"/>
  <c r="F7" i="27"/>
  <c r="F8" i="27"/>
  <c r="B20" i="27"/>
  <c r="B7" i="27"/>
  <c r="B8" i="27"/>
  <c r="E9" i="27"/>
  <c r="E7" i="27"/>
  <c r="E18" i="27" l="1"/>
  <c r="E17" i="27"/>
  <c r="D17" i="27"/>
  <c r="E14" i="27"/>
  <c r="G33" i="28"/>
  <c r="F29" i="28"/>
  <c r="F24" i="28"/>
  <c r="F22" i="28"/>
  <c r="G29" i="28"/>
  <c r="F25" i="28"/>
  <c r="F21" i="28"/>
  <c r="G21" i="28" s="1"/>
  <c r="G35" i="28" s="1"/>
  <c r="E21" i="28"/>
  <c r="E22" i="28"/>
  <c r="D21" i="28"/>
  <c r="C27" i="28"/>
  <c r="C21" i="28"/>
  <c r="G22" i="28"/>
  <c r="G36" i="28" s="1"/>
  <c r="G23" i="28"/>
  <c r="G24" i="28"/>
  <c r="G25" i="28"/>
  <c r="G26" i="28"/>
  <c r="G27" i="28"/>
  <c r="G28" i="28"/>
  <c r="G30" i="28"/>
  <c r="G32" i="28"/>
  <c r="G34" i="28"/>
  <c r="B11" i="28"/>
  <c r="B7" i="28"/>
  <c r="B21" i="28"/>
  <c r="I11" i="28"/>
  <c r="I9" i="28"/>
  <c r="I7" i="28"/>
  <c r="H11" i="28"/>
  <c r="H9" i="28"/>
  <c r="H7" i="28"/>
  <c r="G7" i="28"/>
  <c r="G9" i="28"/>
  <c r="F9" i="28"/>
  <c r="F7" i="28"/>
  <c r="E11" i="28"/>
  <c r="E8" i="28"/>
  <c r="E14" i="28"/>
  <c r="E9" i="28"/>
  <c r="E7" i="28"/>
  <c r="D11" i="28"/>
  <c r="D7" i="28"/>
  <c r="C11" i="28"/>
  <c r="C7" i="28"/>
  <c r="C9" i="28"/>
  <c r="B11" i="27" l="1"/>
  <c r="C10" i="27"/>
  <c r="B14" i="27"/>
  <c r="B17" i="27"/>
  <c r="B10" i="27"/>
  <c r="B9" i="27"/>
  <c r="F16" i="27" l="1"/>
  <c r="F19" i="27"/>
  <c r="E6" i="29" l="1"/>
  <c r="E7" i="29"/>
  <c r="E8" i="29"/>
  <c r="E9" i="29"/>
  <c r="E10" i="29"/>
  <c r="E11" i="29"/>
  <c r="E12" i="29"/>
  <c r="E13" i="29"/>
  <c r="E14" i="29"/>
  <c r="E15" i="29"/>
  <c r="E17" i="29"/>
  <c r="E18" i="29"/>
  <c r="E19" i="29"/>
  <c r="E20" i="29"/>
  <c r="E21" i="29"/>
  <c r="E22" i="29"/>
  <c r="E23" i="29"/>
  <c r="E24" i="29"/>
  <c r="E25" i="29"/>
  <c r="E26" i="29"/>
  <c r="E27" i="29"/>
  <c r="E28" i="29"/>
  <c r="E29" i="29"/>
  <c r="E5" i="29"/>
  <c r="D24" i="29"/>
  <c r="D12" i="29"/>
  <c r="D27" i="29" s="1"/>
  <c r="C27" i="29"/>
  <c r="C23" i="29"/>
  <c r="C16" i="29"/>
  <c r="C12" i="29"/>
  <c r="J8" i="28" l="1"/>
  <c r="J9" i="28"/>
  <c r="J10" i="28"/>
  <c r="J11" i="28"/>
  <c r="J13" i="28"/>
  <c r="J14" i="28"/>
  <c r="J15" i="28"/>
  <c r="J16" i="28"/>
  <c r="K21" i="27" l="1"/>
  <c r="K22" i="27"/>
  <c r="F7" i="25" l="1"/>
  <c r="L7" i="25" s="1"/>
  <c r="F8" i="25"/>
  <c r="L8" i="25" s="1"/>
  <c r="F9" i="25"/>
  <c r="L9" i="25" s="1"/>
  <c r="F6" i="25"/>
  <c r="L6" i="25" s="1"/>
  <c r="I22" i="27" l="1"/>
  <c r="N10" i="25" l="1"/>
  <c r="C37" i="28" l="1"/>
  <c r="C31" i="28"/>
  <c r="D7" i="27" l="1"/>
  <c r="D8" i="27" s="1"/>
  <c r="C38" i="28"/>
  <c r="C10" i="25"/>
  <c r="D10" i="25"/>
  <c r="E10" i="25"/>
  <c r="G10" i="25"/>
  <c r="H10" i="25"/>
  <c r="I10" i="25"/>
  <c r="J10" i="25"/>
  <c r="K10" i="25"/>
  <c r="B10" i="25"/>
  <c r="F9" i="27" l="1"/>
  <c r="L14" i="28"/>
  <c r="J7" i="28"/>
  <c r="E37" i="28" l="1"/>
  <c r="D37" i="28"/>
  <c r="E15" i="27" l="1"/>
  <c r="E31" i="28"/>
  <c r="D31" i="28"/>
  <c r="D14" i="27" s="1"/>
  <c r="B31" i="28"/>
  <c r="B12" i="28"/>
  <c r="O7" i="25"/>
  <c r="F31" i="28"/>
  <c r="H17" i="28"/>
  <c r="G12" i="28"/>
  <c r="B37" i="28"/>
  <c r="E6" i="27" s="1"/>
  <c r="I12" i="28"/>
  <c r="F17" i="28"/>
  <c r="F12" i="28"/>
  <c r="E17" i="28"/>
  <c r="D12" i="28"/>
  <c r="E12" i="28"/>
  <c r="I17" i="28"/>
  <c r="D17" i="28"/>
  <c r="G17" i="28"/>
  <c r="C12" i="28"/>
  <c r="O9" i="25"/>
  <c r="B17" i="28"/>
  <c r="E5" i="27" s="1"/>
  <c r="C17" i="28"/>
  <c r="H12" i="28"/>
  <c r="G31" i="28" l="1"/>
  <c r="J17" i="28"/>
  <c r="J12" i="28"/>
  <c r="F14" i="27"/>
  <c r="C15" i="27"/>
  <c r="F17" i="27"/>
  <c r="C18" i="28"/>
  <c r="D18" i="27"/>
  <c r="D15" i="27"/>
  <c r="F10" i="25"/>
  <c r="G18" i="28"/>
  <c r="D38" i="28"/>
  <c r="G38" i="28" s="1"/>
  <c r="E38" i="28"/>
  <c r="D6" i="27"/>
  <c r="B38" i="28"/>
  <c r="I18" i="28"/>
  <c r="H18" i="28"/>
  <c r="E4" i="27"/>
  <c r="E10" i="27" s="1"/>
  <c r="F18" i="28"/>
  <c r="E18" i="28"/>
  <c r="D18" i="28"/>
  <c r="D4" i="27"/>
  <c r="D5" i="27"/>
  <c r="F5" i="27" s="1"/>
  <c r="B18" i="28"/>
  <c r="F37" i="28"/>
  <c r="G37" i="28" s="1"/>
  <c r="B21" i="27"/>
  <c r="J18" i="28" l="1"/>
  <c r="F4" i="27"/>
  <c r="D10" i="27"/>
  <c r="F6" i="27"/>
  <c r="F15" i="27"/>
  <c r="C18" i="27"/>
  <c r="E11" i="27"/>
  <c r="E12" i="27" s="1"/>
  <c r="O6" i="25"/>
  <c r="M10" i="25"/>
  <c r="L10" i="25"/>
  <c r="F38" i="28"/>
  <c r="E20" i="27" l="1"/>
  <c r="F10" i="27"/>
  <c r="F18" i="27"/>
  <c r="O10" i="25"/>
  <c r="C11" i="27"/>
  <c r="C20" i="27" s="1"/>
  <c r="C12" i="27" l="1"/>
  <c r="D11" i="27"/>
  <c r="D20" i="27" s="1"/>
  <c r="D13" i="27" l="1"/>
</calcChain>
</file>

<file path=xl/sharedStrings.xml><?xml version="1.0" encoding="utf-8"?>
<sst xmlns="http://schemas.openxmlformats.org/spreadsheetml/2006/main" count="168" uniqueCount="123">
  <si>
    <t>Intézmény</t>
  </si>
  <si>
    <t>Összesen:</t>
  </si>
  <si>
    <t>Polgárm. Hivatal</t>
  </si>
  <si>
    <t>Város Összesen</t>
  </si>
  <si>
    <t>Felügyeleti szervi és saját hatáskörű előirányzat-módosítások</t>
  </si>
  <si>
    <t>Felügyeleti sz.:</t>
  </si>
  <si>
    <t>Felügy. összes:</t>
  </si>
  <si>
    <t>Központosított ei. mód</t>
  </si>
  <si>
    <t>Felügyeleti szervi ei. mód.</t>
  </si>
  <si>
    <t>Saját hatáskörű    ei. mód</t>
  </si>
  <si>
    <t>Egyesített Bölcsöde</t>
  </si>
  <si>
    <t>Város összesen:</t>
  </si>
  <si>
    <t>Saját hatáskörben:</t>
  </si>
  <si>
    <t>Saját hatáskör.össz.:</t>
  </si>
  <si>
    <t>Őzikés Óvoda</t>
  </si>
  <si>
    <t>Majoroki Óvoda</t>
  </si>
  <si>
    <t>Bóbita Óvoda</t>
  </si>
  <si>
    <t>Kékcinke Óvoda</t>
  </si>
  <si>
    <t>Többlet</t>
  </si>
  <si>
    <t>Múzeum</t>
  </si>
  <si>
    <t>Önkormányzat</t>
  </si>
  <si>
    <t>belső átcsoportosítás</t>
  </si>
  <si>
    <t>Óvodák</t>
  </si>
  <si>
    <t>Központi előirányzat-módosítások, meghatározott célú támogatások (kötelező)</t>
  </si>
  <si>
    <t>.- ebből kötelező</t>
  </si>
  <si>
    <t>.- ebből önként</t>
  </si>
  <si>
    <t>Óvodák*</t>
  </si>
  <si>
    <t xml:space="preserve">* Az Önkormányzat irányítása alá tartozó intézmények a központi előirányzatból származó támogatást az Önkormányzaton keresztül, </t>
  </si>
  <si>
    <t xml:space="preserve"> oszlopban található.</t>
  </si>
  <si>
    <t>Múzeum*</t>
  </si>
  <si>
    <t xml:space="preserve">Polgármesteri Hivatal </t>
  </si>
  <si>
    <t>Jubileumi jutalom, felmentési bér, jutalom, személyi juttatás</t>
  </si>
  <si>
    <t>Hansági Múzeum (önként)</t>
  </si>
  <si>
    <t>Felhalmozási kiadások</t>
  </si>
  <si>
    <t>Maradvány</t>
  </si>
  <si>
    <t>Többlet, átcsoportosítás</t>
  </si>
  <si>
    <t>Rendészet</t>
  </si>
  <si>
    <t>Önkormányzati Rendészet</t>
  </si>
  <si>
    <t>Tartalék változás, felhasználás</t>
  </si>
  <si>
    <t>finanszírozás változása</t>
  </si>
  <si>
    <t>támogatásértékű pénzeszköz átadás.</t>
  </si>
  <si>
    <r>
      <t xml:space="preserve">.- </t>
    </r>
    <r>
      <rPr>
        <sz val="9"/>
        <rFont val="Arial"/>
        <family val="2"/>
        <charset val="238"/>
      </rPr>
      <t xml:space="preserve">ebből kötelező </t>
    </r>
  </si>
  <si>
    <t>SNI gondozásra</t>
  </si>
  <si>
    <t>Jubileumi jutalom, felmentési bér, egyéb személyi jellegű átcsoportosítás</t>
  </si>
  <si>
    <t xml:space="preserve"> Dologi kiadásokra  illetve pályázatokhoz kapcsolódó kiadások</t>
  </si>
  <si>
    <t>Dologi kiadások változása</t>
  </si>
  <si>
    <t>Vállalkozási tev. Miatt előírt bef. Kötelezettség változás</t>
  </si>
  <si>
    <t>Szociális juttatások változása</t>
  </si>
  <si>
    <t>Flesch Nonprofit Kft. Érintő**</t>
  </si>
  <si>
    <t>Térségi Társulást érintő***</t>
  </si>
  <si>
    <t>Egészségügyi pótlék</t>
  </si>
  <si>
    <t>Állampapír beváltásból</t>
  </si>
  <si>
    <t>felügyeleti szervi támogatásként kapják meg. Így az intézmények esetén a központi támogatás a felügyeleti szervi előirányzat módosítás</t>
  </si>
  <si>
    <t>Egyesített Bölcsöde*</t>
  </si>
  <si>
    <t>Intézmények összesen*</t>
  </si>
  <si>
    <t>Polgármesteri Hivatal*</t>
  </si>
  <si>
    <t xml:space="preserve">Lurkóvár Óvoda </t>
  </si>
  <si>
    <t>Óvodák összesen</t>
  </si>
  <si>
    <t>ok</t>
  </si>
  <si>
    <t>önként</t>
  </si>
  <si>
    <t>kötelező</t>
  </si>
  <si>
    <t xml:space="preserve">Ostermayer Óvoda </t>
  </si>
  <si>
    <t>Vackor Óvoda</t>
  </si>
  <si>
    <t>Címrendi szám</t>
  </si>
  <si>
    <t>Intézmény neve</t>
  </si>
  <si>
    <t>1 1</t>
  </si>
  <si>
    <t>1 1 1</t>
  </si>
  <si>
    <t>1 1 2</t>
  </si>
  <si>
    <t>Lurkóvár Óvoda</t>
  </si>
  <si>
    <t>1 1 3</t>
  </si>
  <si>
    <t>1 1 4</t>
  </si>
  <si>
    <t>1 1 5</t>
  </si>
  <si>
    <t>1 1 6</t>
  </si>
  <si>
    <t>1 1 7</t>
  </si>
  <si>
    <t>2 1</t>
  </si>
  <si>
    <t>2 1 1</t>
  </si>
  <si>
    <t>2 1 2</t>
  </si>
  <si>
    <t>Tábor</t>
  </si>
  <si>
    <t>Hansági Múzeum</t>
  </si>
  <si>
    <t>Egyéb intézmény összesen</t>
  </si>
  <si>
    <t>4 1 1</t>
  </si>
  <si>
    <t>Polgármesteri Hivatal</t>
  </si>
  <si>
    <t>5 1 1</t>
  </si>
  <si>
    <t>Mosonmagyaróvári Önkormányzati Rendészet</t>
  </si>
  <si>
    <t>MOSONMAGYARÓVÁR VÁROS ÖSSZESEN:</t>
  </si>
  <si>
    <t>Ostermayer Óvoda</t>
  </si>
  <si>
    <t>Futura</t>
  </si>
  <si>
    <t>.-ebbből kötelező (alap)</t>
  </si>
  <si>
    <t>.-ebből önként (vállalkozási)</t>
  </si>
  <si>
    <t>ebből jub.jut. És felmentési bér: 4.322.570 Ft</t>
  </si>
  <si>
    <t>Intézmények összesen (kötelező) illetve nem kötelező feladatellátás:</t>
  </si>
  <si>
    <t>Szociális ágazati összevont pótlék</t>
  </si>
  <si>
    <t xml:space="preserve"> </t>
  </si>
  <si>
    <t>Támogatások, műk.célú pe.átadás</t>
  </si>
  <si>
    <t>Mosonmagyaróvár Város Önkormányzata és Intézményei előirányzat-módosítása</t>
  </si>
  <si>
    <t>Támogatások változása (Térségi Társulás felé)</t>
  </si>
  <si>
    <t>Jogcímenkénti kimutatás a 2024. I - VI. havi előirányzat-módosításokról Ft-ban</t>
  </si>
  <si>
    <t>2024. I - VI. hónapban Ft-ban</t>
  </si>
  <si>
    <t>3 1 1</t>
  </si>
  <si>
    <t>3 1 1 1</t>
  </si>
  <si>
    <t>3 1 1 2</t>
  </si>
  <si>
    <t>3 1 1 3</t>
  </si>
  <si>
    <t>3 1 1 4</t>
  </si>
  <si>
    <t>3 1 1 5</t>
  </si>
  <si>
    <t>6 1 1</t>
  </si>
  <si>
    <t>Egyéb intézmények</t>
  </si>
  <si>
    <t>Mosonmagyaróvári Egyesített Bölcsődék Intézménye</t>
  </si>
  <si>
    <t>Futura Szolgáltató Központ</t>
  </si>
  <si>
    <t>Gazdasági iroda</t>
  </si>
  <si>
    <t>Központi konyha</t>
  </si>
  <si>
    <t>Futura Szolgáltató Központ vállalkozási tevékenység</t>
  </si>
  <si>
    <t>Futura Szolgáltató Központ összesen</t>
  </si>
  <si>
    <t>int.fin.</t>
  </si>
  <si>
    <t>2024. évi eredeti előirányzat</t>
  </si>
  <si>
    <t>2022. évi beszámoló felülvizsgálatának eredménye</t>
  </si>
  <si>
    <t>települési önkormányzatok kulturális feladatainak bérjellegű támogatása - kiegészítés a minimálbér és garantált bérminimum növekedéséhez</t>
  </si>
  <si>
    <t>Futura Szolgáltató Központ*</t>
  </si>
  <si>
    <t>Rendészet*</t>
  </si>
  <si>
    <t>**Flesch Nonprofit Kft-t érintő támogatás - a gazdasági társaság által ellátott nyilvános könyvtári feladatokhoz kapcsolódóan átadott pótlólagos állami támogatás</t>
  </si>
  <si>
    <t>*** Térségi Társulás intézményeit éritnő támogatást a gesztor önkormányzat kapja meg nettó finanszírozáson keresztül, mely átadásra került mint áht-n belüli</t>
  </si>
  <si>
    <t>Módosított ei.     2024. VI. 30-án</t>
  </si>
  <si>
    <t>1/2024. (II.16.) sz. önkorm. rendelet szerint</t>
  </si>
  <si>
    <t>Mosonmagyaróvár Egyesített Bölcsődék Intézménye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</si>
</sst>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F_t_-;\-* #,##0.00\ _F_t_-;_-* &quot;-&quot;??\ _F_t_-;_-@_-"/>
    <numFmt numFmtId="164" formatCode="#,##0\ &quot;Ft&quot;"/>
    <numFmt numFmtId="165" formatCode="_-* #,##0\ _F_t_-;\-* #,##0\ _F_t_-;_-* &quot;-&quot;??\ _F_t_-;_-@_-"/>
  </numFmts>
  <fonts count="25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u/>
      <sz val="1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4"/>
      <name val="Arial"/>
      <family val="2"/>
      <charset val="238"/>
    </font>
    <font>
      <sz val="10"/>
      <name val="Arial"/>
      <family val="2"/>
      <charset val="238"/>
    </font>
    <font>
      <sz val="10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12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8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3">
    <xf numFmtId="0" fontId="0" fillId="0" borderId="0" xfId="0"/>
    <xf numFmtId="0" fontId="0" fillId="0" borderId="0" xfId="0" applyBorder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/>
    <xf numFmtId="0" fontId="10" fillId="0" borderId="1" xfId="0" applyFont="1" applyBorder="1"/>
    <xf numFmtId="0" fontId="9" fillId="0" borderId="0" xfId="0" applyFont="1" applyBorder="1"/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/>
    <xf numFmtId="3" fontId="12" fillId="0" borderId="1" xfId="0" applyNumberFormat="1" applyFont="1" applyBorder="1" applyAlignment="1">
      <alignment horizontal="right"/>
    </xf>
    <xf numFmtId="3" fontId="13" fillId="0" borderId="4" xfId="0" applyNumberFormat="1" applyFont="1" applyBorder="1" applyAlignment="1">
      <alignment horizontal="right" vertical="center" wrapText="1"/>
    </xf>
    <xf numFmtId="3" fontId="12" fillId="0" borderId="4" xfId="0" applyNumberFormat="1" applyFont="1" applyBorder="1" applyAlignment="1">
      <alignment horizontal="right" vertical="center" wrapText="1"/>
    </xf>
    <xf numFmtId="0" fontId="13" fillId="0" borderId="5" xfId="0" applyFont="1" applyFill="1" applyBorder="1"/>
    <xf numFmtId="0" fontId="12" fillId="0" borderId="4" xfId="0" applyFont="1" applyFill="1" applyBorder="1"/>
    <xf numFmtId="0" fontId="12" fillId="0" borderId="3" xfId="0" applyFont="1" applyFill="1" applyBorder="1"/>
    <xf numFmtId="0" fontId="12" fillId="0" borderId="2" xfId="0" applyFont="1" applyFill="1" applyBorder="1"/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3" fontId="13" fillId="0" borderId="0" xfId="0" applyNumberFormat="1" applyFont="1" applyFill="1" applyBorder="1" applyAlignment="1">
      <alignment horizontal="right" vertical="center" wrapText="1"/>
    </xf>
    <xf numFmtId="3" fontId="12" fillId="0" borderId="0" xfId="0" applyNumberFormat="1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right" vertical="center" wrapText="1"/>
    </xf>
    <xf numFmtId="3" fontId="11" fillId="0" borderId="0" xfId="0" applyNumberFormat="1" applyFont="1" applyFill="1" applyBorder="1" applyAlignment="1">
      <alignment horizontal="right" vertical="center" wrapText="1"/>
    </xf>
    <xf numFmtId="3" fontId="10" fillId="0" borderId="0" xfId="0" applyNumberFormat="1" applyFont="1" applyFill="1" applyBorder="1"/>
    <xf numFmtId="3" fontId="9" fillId="0" borderId="0" xfId="0" applyNumberFormat="1" applyFont="1" applyFill="1" applyBorder="1"/>
    <xf numFmtId="3" fontId="12" fillId="0" borderId="0" xfId="0" applyNumberFormat="1" applyFont="1" applyFill="1" applyBorder="1"/>
    <xf numFmtId="3" fontId="10" fillId="0" borderId="0" xfId="0" applyNumberFormat="1" applyFont="1" applyBorder="1"/>
    <xf numFmtId="3" fontId="0" fillId="0" borderId="0" xfId="0" applyNumberFormat="1"/>
    <xf numFmtId="0" fontId="0" fillId="0" borderId="0" xfId="0" applyFill="1"/>
    <xf numFmtId="3" fontId="0" fillId="0" borderId="0" xfId="0" applyNumberFormat="1" applyFill="1"/>
    <xf numFmtId="3" fontId="12" fillId="0" borderId="4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9" fillId="0" borderId="5" xfId="0" applyFont="1" applyFill="1" applyBorder="1"/>
    <xf numFmtId="0" fontId="9" fillId="0" borderId="4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0" xfId="0" applyFont="1"/>
    <xf numFmtId="0" fontId="9" fillId="0" borderId="5" xfId="0" applyFont="1" applyFill="1" applyBorder="1" applyAlignment="1">
      <alignment wrapText="1"/>
    </xf>
    <xf numFmtId="0" fontId="9" fillId="0" borderId="4" xfId="0" applyFont="1" applyFill="1" applyBorder="1" applyAlignment="1">
      <alignment wrapText="1"/>
    </xf>
    <xf numFmtId="0" fontId="9" fillId="0" borderId="8" xfId="0" applyFont="1" applyFill="1" applyBorder="1"/>
    <xf numFmtId="0" fontId="9" fillId="0" borderId="8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6" xfId="0" applyFill="1" applyBorder="1"/>
    <xf numFmtId="3" fontId="4" fillId="2" borderId="5" xfId="0" applyNumberFormat="1" applyFont="1" applyFill="1" applyBorder="1"/>
    <xf numFmtId="0" fontId="15" fillId="0" borderId="0" xfId="0" applyFont="1"/>
    <xf numFmtId="0" fontId="9" fillId="0" borderId="2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6" fillId="0" borderId="0" xfId="0" applyFont="1" applyFill="1"/>
    <xf numFmtId="0" fontId="16" fillId="0" borderId="0" xfId="0" applyFont="1"/>
    <xf numFmtId="3" fontId="16" fillId="0" borderId="0" xfId="0" applyNumberFormat="1" applyFont="1"/>
    <xf numFmtId="0" fontId="6" fillId="0" borderId="0" xfId="0" applyFont="1" applyAlignment="1">
      <alignment vertical="center"/>
    </xf>
    <xf numFmtId="0" fontId="15" fillId="0" borderId="0" xfId="0" applyFont="1" applyFill="1" applyBorder="1"/>
    <xf numFmtId="0" fontId="9" fillId="0" borderId="7" xfId="0" applyFont="1" applyFill="1" applyBorder="1"/>
    <xf numFmtId="3" fontId="9" fillId="0" borderId="2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/>
    </xf>
    <xf numFmtId="3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/>
    <xf numFmtId="0" fontId="10" fillId="0" borderId="2" xfId="0" applyFont="1" applyFill="1" applyBorder="1" applyAlignment="1">
      <alignment wrapText="1"/>
    </xf>
    <xf numFmtId="3" fontId="10" fillId="0" borderId="2" xfId="0" applyNumberFormat="1" applyFont="1" applyFill="1" applyBorder="1" applyAlignment="1">
      <alignment horizontal="center" vertical="center"/>
    </xf>
    <xf numFmtId="3" fontId="15" fillId="0" borderId="0" xfId="0" applyNumberFormat="1" applyFont="1" applyFill="1" applyAlignment="1">
      <alignment horizontal="center" vertical="center"/>
    </xf>
    <xf numFmtId="3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/>
    <xf numFmtId="165" fontId="16" fillId="0" borderId="0" xfId="1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/>
    <xf numFmtId="0" fontId="4" fillId="0" borderId="0" xfId="0" applyFont="1" applyFill="1" applyAlignment="1">
      <alignment horizontal="center" vertical="center"/>
    </xf>
    <xf numFmtId="3" fontId="1" fillId="0" borderId="0" xfId="0" applyNumberFormat="1" applyFont="1" applyFill="1" applyAlignment="1">
      <alignment horizontal="center" vertical="center"/>
    </xf>
    <xf numFmtId="0" fontId="4" fillId="0" borderId="3" xfId="0" applyFont="1" applyFill="1" applyBorder="1" applyAlignment="1">
      <alignment horizontal="right" vertical="center" wrapText="1"/>
    </xf>
    <xf numFmtId="3" fontId="15" fillId="0" borderId="5" xfId="0" applyNumberFormat="1" applyFont="1" applyFill="1" applyBorder="1" applyAlignment="1">
      <alignment horizontal="right" vertical="center" wrapText="1"/>
    </xf>
    <xf numFmtId="3" fontId="15" fillId="0" borderId="8" xfId="0" applyNumberFormat="1" applyFont="1" applyFill="1" applyBorder="1" applyAlignment="1">
      <alignment horizontal="right" vertical="center" wrapText="1"/>
    </xf>
    <xf numFmtId="3" fontId="15" fillId="0" borderId="4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/>
    <xf numFmtId="3" fontId="4" fillId="0" borderId="6" xfId="0" applyNumberFormat="1" applyFont="1" applyFill="1" applyBorder="1"/>
    <xf numFmtId="3" fontId="15" fillId="0" borderId="5" xfId="0" applyNumberFormat="1" applyFont="1" applyFill="1" applyBorder="1"/>
    <xf numFmtId="3" fontId="15" fillId="0" borderId="8" xfId="0" applyNumberFormat="1" applyFont="1" applyFill="1" applyBorder="1"/>
    <xf numFmtId="3" fontId="15" fillId="0" borderId="12" xfId="0" applyNumberFormat="1" applyFont="1" applyFill="1" applyBorder="1"/>
    <xf numFmtId="3" fontId="15" fillId="0" borderId="7" xfId="0" applyNumberFormat="1" applyFont="1" applyFill="1" applyBorder="1"/>
    <xf numFmtId="3" fontId="4" fillId="0" borderId="10" xfId="0" applyNumberFormat="1" applyFont="1" applyFill="1" applyBorder="1"/>
    <xf numFmtId="0" fontId="0" fillId="0" borderId="6" xfId="0" applyFill="1" applyBorder="1"/>
    <xf numFmtId="0" fontId="0" fillId="0" borderId="13" xfId="0" applyFill="1" applyBorder="1"/>
    <xf numFmtId="0" fontId="3" fillId="0" borderId="17" xfId="0" applyFont="1" applyFill="1" applyBorder="1" applyAlignment="1">
      <alignment horizontal="right" vertical="center" wrapText="1"/>
    </xf>
    <xf numFmtId="3" fontId="15" fillId="0" borderId="18" xfId="0" applyNumberFormat="1" applyFont="1" applyFill="1" applyBorder="1" applyAlignment="1">
      <alignment horizontal="right" vertical="center" wrapText="1"/>
    </xf>
    <xf numFmtId="3" fontId="15" fillId="0" borderId="16" xfId="0" applyNumberFormat="1" applyFont="1" applyFill="1" applyBorder="1" applyAlignment="1">
      <alignment horizontal="right" vertical="center" wrapText="1"/>
    </xf>
    <xf numFmtId="3" fontId="15" fillId="0" borderId="19" xfId="0" applyNumberFormat="1" applyFont="1" applyFill="1" applyBorder="1" applyAlignment="1">
      <alignment horizontal="right" vertical="center" wrapText="1"/>
    </xf>
    <xf numFmtId="3" fontId="15" fillId="0" borderId="14" xfId="0" applyNumberFormat="1" applyFont="1" applyFill="1" applyBorder="1"/>
    <xf numFmtId="3" fontId="15" fillId="0" borderId="20" xfId="0" applyNumberFormat="1" applyFont="1" applyFill="1" applyBorder="1" applyAlignment="1">
      <alignment horizontal="right" vertical="center" wrapText="1"/>
    </xf>
    <xf numFmtId="3" fontId="15" fillId="0" borderId="2" xfId="0" applyNumberFormat="1" applyFont="1" applyFill="1" applyBorder="1" applyAlignment="1">
      <alignment horizontal="right" vertical="center" wrapText="1"/>
    </xf>
    <xf numFmtId="3" fontId="15" fillId="0" borderId="2" xfId="0" applyNumberFormat="1" applyFont="1" applyFill="1" applyBorder="1"/>
    <xf numFmtId="3" fontId="15" fillId="0" borderId="15" xfId="0" applyNumberFormat="1" applyFont="1" applyFill="1" applyBorder="1"/>
    <xf numFmtId="3" fontId="15" fillId="0" borderId="0" xfId="0" applyNumberFormat="1" applyFont="1" applyFill="1" applyBorder="1" applyAlignment="1">
      <alignment horizontal="right" vertical="center" wrapText="1"/>
    </xf>
    <xf numFmtId="3" fontId="15" fillId="0" borderId="10" xfId="0" applyNumberFormat="1" applyFont="1" applyFill="1" applyBorder="1"/>
    <xf numFmtId="3" fontId="15" fillId="0" borderId="3" xfId="0" applyNumberFormat="1" applyFont="1" applyFill="1" applyBorder="1"/>
    <xf numFmtId="3" fontId="4" fillId="0" borderId="3" xfId="0" applyNumberFormat="1" applyFont="1" applyFill="1" applyBorder="1"/>
    <xf numFmtId="165" fontId="1" fillId="0" borderId="0" xfId="0" applyNumberFormat="1" applyFont="1"/>
    <xf numFmtId="3" fontId="1" fillId="0" borderId="0" xfId="0" applyNumberFormat="1" applyFont="1"/>
    <xf numFmtId="165" fontId="1" fillId="0" borderId="0" xfId="1" applyNumberFormat="1" applyFont="1"/>
    <xf numFmtId="0" fontId="7" fillId="0" borderId="0" xfId="0" applyFont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3" fontId="9" fillId="0" borderId="0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165" fontId="10" fillId="0" borderId="2" xfId="1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3" fontId="16" fillId="0" borderId="0" xfId="0" applyNumberFormat="1" applyFont="1" applyFill="1"/>
    <xf numFmtId="3" fontId="19" fillId="0" borderId="0" xfId="0" applyNumberFormat="1" applyFont="1" applyFill="1" applyBorder="1" applyAlignment="1">
      <alignment horizontal="right" vertical="center" wrapText="1"/>
    </xf>
    <xf numFmtId="3" fontId="20" fillId="0" borderId="0" xfId="0" applyNumberFormat="1" applyFont="1" applyFill="1" applyBorder="1" applyAlignment="1">
      <alignment horizontal="right" vertical="center" wrapText="1"/>
    </xf>
    <xf numFmtId="3" fontId="21" fillId="0" borderId="0" xfId="0" applyNumberFormat="1" applyFont="1" applyFill="1" applyBorder="1"/>
    <xf numFmtId="3" fontId="21" fillId="0" borderId="0" xfId="0" applyNumberFormat="1" applyFont="1" applyFill="1" applyBorder="1" applyAlignment="1">
      <alignment horizontal="right" vertical="center" wrapText="1"/>
    </xf>
    <xf numFmtId="3" fontId="19" fillId="0" borderId="0" xfId="0" applyNumberFormat="1" applyFont="1" applyFill="1" applyBorder="1"/>
    <xf numFmtId="0" fontId="4" fillId="0" borderId="0" xfId="0" applyFont="1"/>
    <xf numFmtId="0" fontId="21" fillId="0" borderId="0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right" vertical="center" wrapText="1"/>
    </xf>
    <xf numFmtId="3" fontId="1" fillId="0" borderId="8" xfId="0" applyNumberFormat="1" applyFont="1" applyFill="1" applyBorder="1" applyAlignment="1">
      <alignment horizontal="right" vertical="center" wrapText="1"/>
    </xf>
    <xf numFmtId="0" fontId="10" fillId="0" borderId="2" xfId="0" applyFont="1" applyFill="1" applyBorder="1"/>
    <xf numFmtId="0" fontId="23" fillId="0" borderId="0" xfId="0" applyFont="1"/>
    <xf numFmtId="165" fontId="16" fillId="0" borderId="0" xfId="1" applyNumberFormat="1" applyFont="1"/>
    <xf numFmtId="165" fontId="19" fillId="0" borderId="0" xfId="1" applyNumberFormat="1" applyFont="1" applyFill="1" applyBorder="1" applyAlignment="1">
      <alignment horizontal="right" vertical="center" wrapText="1"/>
    </xf>
    <xf numFmtId="165" fontId="16" fillId="0" borderId="0" xfId="0" applyNumberFormat="1" applyFont="1"/>
    <xf numFmtId="165" fontId="16" fillId="0" borderId="0" xfId="1" applyNumberFormat="1" applyFont="1" applyBorder="1"/>
    <xf numFmtId="3" fontId="15" fillId="0" borderId="1" xfId="0" applyNumberFormat="1" applyFont="1" applyFill="1" applyBorder="1" applyAlignment="1">
      <alignment horizontal="right" vertical="center" wrapText="1"/>
    </xf>
    <xf numFmtId="0" fontId="13" fillId="0" borderId="1" xfId="0" applyFont="1" applyFill="1" applyBorder="1"/>
    <xf numFmtId="3" fontId="15" fillId="0" borderId="1" xfId="0" applyNumberFormat="1" applyFont="1" applyFill="1" applyBorder="1"/>
    <xf numFmtId="3" fontId="15" fillId="0" borderId="21" xfId="0" applyNumberFormat="1" applyFont="1" applyFill="1" applyBorder="1"/>
    <xf numFmtId="0" fontId="4" fillId="0" borderId="9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1" fillId="0" borderId="0" xfId="0" applyFont="1" applyFill="1"/>
    <xf numFmtId="165" fontId="1" fillId="0" borderId="0" xfId="1" applyNumberFormat="1" applyFont="1" applyFill="1"/>
    <xf numFmtId="165" fontId="1" fillId="0" borderId="0" xfId="0" applyNumberFormat="1" applyFont="1" applyFill="1"/>
    <xf numFmtId="165" fontId="10" fillId="0" borderId="0" xfId="1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/>
    </xf>
    <xf numFmtId="165" fontId="9" fillId="0" borderId="0" xfId="1" applyNumberFormat="1" applyFont="1" applyBorder="1"/>
    <xf numFmtId="0" fontId="1" fillId="0" borderId="0" xfId="0" applyFont="1" applyBorder="1"/>
    <xf numFmtId="164" fontId="1" fillId="0" borderId="0" xfId="0" applyNumberFormat="1" applyFont="1"/>
    <xf numFmtId="3" fontId="1" fillId="0" borderId="5" xfId="0" applyNumberFormat="1" applyFont="1" applyFill="1" applyBorder="1"/>
    <xf numFmtId="165" fontId="1" fillId="0" borderId="0" xfId="1" applyNumberFormat="1" applyFont="1" applyFill="1" applyAlignment="1">
      <alignment horizontal="center" vertical="center"/>
    </xf>
    <xf numFmtId="165" fontId="4" fillId="0" borderId="0" xfId="1" applyNumberFormat="1" applyFont="1" applyFill="1" applyAlignment="1">
      <alignment horizontal="center" vertical="center"/>
    </xf>
    <xf numFmtId="0" fontId="16" fillId="0" borderId="0" xfId="0" applyFont="1" applyFill="1" applyBorder="1"/>
    <xf numFmtId="165" fontId="16" fillId="0" borderId="0" xfId="1" applyNumberFormat="1" applyFont="1" applyFill="1"/>
    <xf numFmtId="165" fontId="17" fillId="0" borderId="0" xfId="0" applyNumberFormat="1" applyFont="1" applyFill="1"/>
    <xf numFmtId="165" fontId="4" fillId="0" borderId="0" xfId="1" applyNumberFormat="1" applyFont="1" applyFill="1"/>
    <xf numFmtId="165" fontId="23" fillId="0" borderId="0" xfId="1" applyNumberFormat="1" applyFont="1" applyFill="1"/>
    <xf numFmtId="165" fontId="4" fillId="0" borderId="0" xfId="1" applyNumberFormat="1" applyFont="1"/>
    <xf numFmtId="0" fontId="4" fillId="0" borderId="0" xfId="0" applyFont="1" applyFill="1"/>
    <xf numFmtId="165" fontId="4" fillId="0" borderId="0" xfId="0" applyNumberFormat="1" applyFont="1" applyFill="1"/>
    <xf numFmtId="0" fontId="23" fillId="0" borderId="0" xfId="0" applyFont="1" applyFill="1"/>
    <xf numFmtId="165" fontId="24" fillId="0" borderId="0" xfId="1" applyNumberFormat="1" applyFont="1" applyFill="1"/>
    <xf numFmtId="165" fontId="1" fillId="0" borderId="0" xfId="1" applyNumberFormat="1" applyFont="1" applyFill="1" applyAlignment="1">
      <alignment wrapText="1"/>
    </xf>
    <xf numFmtId="14" fontId="1" fillId="0" borderId="0" xfId="0" applyNumberFormat="1" applyFont="1"/>
    <xf numFmtId="165" fontId="4" fillId="0" borderId="0" xfId="0" applyNumberFormat="1" applyFont="1"/>
    <xf numFmtId="3" fontId="16" fillId="0" borderId="0" xfId="0" applyNumberFormat="1" applyFont="1" applyFill="1" applyBorder="1"/>
    <xf numFmtId="3" fontId="16" fillId="0" borderId="0" xfId="0" applyNumberFormat="1" applyFont="1" applyBorder="1"/>
    <xf numFmtId="0" fontId="17" fillId="0" borderId="0" xfId="0" applyFont="1" applyBorder="1" applyAlignment="1">
      <alignment horizontal="center" vertical="center" wrapText="1"/>
    </xf>
    <xf numFmtId="0" fontId="16" fillId="0" borderId="0" xfId="0" applyFont="1" applyBorder="1"/>
    <xf numFmtId="0" fontId="17" fillId="0" borderId="0" xfId="0" applyFont="1" applyFill="1" applyBorder="1" applyAlignment="1">
      <alignment vertical="center" wrapText="1"/>
    </xf>
    <xf numFmtId="3" fontId="21" fillId="0" borderId="9" xfId="0" applyNumberFormat="1" applyFont="1" applyFill="1" applyBorder="1" applyAlignment="1">
      <alignment horizontal="center" vertical="center"/>
    </xf>
    <xf numFmtId="165" fontId="21" fillId="0" borderId="9" xfId="1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3" fontId="16" fillId="0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"/>
  <sheetViews>
    <sheetView zoomScale="96" zoomScaleNormal="96" workbookViewId="0">
      <selection activeCell="A19" sqref="A19"/>
    </sheetView>
  </sheetViews>
  <sheetFormatPr defaultRowHeight="12.5" x14ac:dyDescent="0.25"/>
  <cols>
    <col min="1" max="1" width="30.81640625" customWidth="1"/>
    <col min="2" max="2" width="13.81640625" customWidth="1"/>
    <col min="3" max="3" width="13.1796875" customWidth="1"/>
    <col min="4" max="4" width="12.54296875" customWidth="1"/>
    <col min="5" max="5" width="12.1796875" customWidth="1"/>
    <col min="6" max="6" width="14.1796875" customWidth="1"/>
    <col min="7" max="7" width="14" customWidth="1"/>
    <col min="8" max="8" width="11.1796875" customWidth="1"/>
    <col min="9" max="9" width="13.54296875" customWidth="1"/>
    <col min="10" max="10" width="11.81640625" customWidth="1"/>
    <col min="11" max="11" width="14.1796875" customWidth="1"/>
    <col min="12" max="12" width="17.81640625" customWidth="1"/>
    <col min="13" max="13" width="14.54296875" style="71" customWidth="1"/>
    <col min="14" max="14" width="15.1796875" style="102" bestFit="1" customWidth="1"/>
    <col min="15" max="15" width="14.453125" style="71" bestFit="1" customWidth="1"/>
  </cols>
  <sheetData>
    <row r="1" spans="1:15" ht="15.5" x14ac:dyDescent="0.25">
      <c r="A1" s="166" t="s">
        <v>96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</row>
    <row r="2" spans="1:15" ht="15.5" x14ac:dyDescent="0.25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132"/>
    </row>
    <row r="3" spans="1:15" ht="14" x14ac:dyDescent="0.3">
      <c r="A3" s="4" t="s">
        <v>23</v>
      </c>
    </row>
    <row r="4" spans="1:15" ht="13" thickBot="1" x14ac:dyDescent="0.3"/>
    <row r="5" spans="1:15" ht="35" thickBot="1" x14ac:dyDescent="0.3">
      <c r="A5" s="7" t="s">
        <v>0</v>
      </c>
      <c r="B5" s="37" t="s">
        <v>53</v>
      </c>
      <c r="C5" s="37" t="s">
        <v>29</v>
      </c>
      <c r="D5" s="37" t="s">
        <v>26</v>
      </c>
      <c r="E5" s="37" t="s">
        <v>116</v>
      </c>
      <c r="F5" s="38" t="s">
        <v>54</v>
      </c>
      <c r="G5" s="38" t="s">
        <v>55</v>
      </c>
      <c r="H5" s="38" t="s">
        <v>117</v>
      </c>
      <c r="I5" s="8" t="s">
        <v>20</v>
      </c>
      <c r="J5" s="38" t="s">
        <v>48</v>
      </c>
      <c r="K5" s="38" t="s">
        <v>49</v>
      </c>
      <c r="L5" s="8" t="s">
        <v>3</v>
      </c>
      <c r="N5" s="122"/>
      <c r="O5" s="51"/>
    </row>
    <row r="6" spans="1:15" ht="13" thickBot="1" x14ac:dyDescent="0.3">
      <c r="A6" s="57" t="s">
        <v>91</v>
      </c>
      <c r="B6" s="11">
        <v>4198471</v>
      </c>
      <c r="C6" s="11">
        <v>0</v>
      </c>
      <c r="D6" s="11">
        <v>0</v>
      </c>
      <c r="E6" s="11">
        <v>0</v>
      </c>
      <c r="F6" s="12">
        <f>SUM(B6:E6)</f>
        <v>4198471</v>
      </c>
      <c r="G6" s="11">
        <v>0</v>
      </c>
      <c r="H6" s="11">
        <v>0</v>
      </c>
      <c r="I6" s="11">
        <v>0</v>
      </c>
      <c r="J6" s="11">
        <v>0</v>
      </c>
      <c r="K6" s="11">
        <v>78988457</v>
      </c>
      <c r="L6" s="32">
        <f>SUM(F6:K6)</f>
        <v>83186928</v>
      </c>
      <c r="M6" s="50" t="s">
        <v>58</v>
      </c>
      <c r="N6" s="123">
        <v>85264050</v>
      </c>
      <c r="O6" s="124">
        <f>N6-L6</f>
        <v>2077122</v>
      </c>
    </row>
    <row r="7" spans="1:15" ht="13" thickBot="1" x14ac:dyDescent="0.3">
      <c r="A7" s="35" t="s">
        <v>50</v>
      </c>
      <c r="B7" s="11">
        <v>0</v>
      </c>
      <c r="C7" s="11">
        <v>0</v>
      </c>
      <c r="D7" s="11">
        <v>0</v>
      </c>
      <c r="E7" s="11">
        <v>0</v>
      </c>
      <c r="F7" s="12">
        <f t="shared" ref="F7:F9" si="0">SUM(B7:E7)</f>
        <v>0</v>
      </c>
      <c r="G7" s="11">
        <v>0</v>
      </c>
      <c r="H7" s="11">
        <v>0</v>
      </c>
      <c r="I7" s="11">
        <v>0</v>
      </c>
      <c r="J7" s="11">
        <v>0</v>
      </c>
      <c r="K7" s="11">
        <v>1935366</v>
      </c>
      <c r="L7" s="32">
        <f t="shared" ref="L7:L9" si="1">SUM(F7:K7)</f>
        <v>1935366</v>
      </c>
      <c r="M7" s="50" t="s">
        <v>58</v>
      </c>
      <c r="N7" s="125">
        <v>1456450</v>
      </c>
      <c r="O7" s="124">
        <f t="shared" ref="O7:O10" si="2">N7-L7</f>
        <v>-478916</v>
      </c>
    </row>
    <row r="8" spans="1:15" ht="23.5" thickBot="1" x14ac:dyDescent="0.3">
      <c r="A8" s="35" t="s">
        <v>114</v>
      </c>
      <c r="B8" s="11">
        <v>0</v>
      </c>
      <c r="C8" s="11">
        <v>0</v>
      </c>
      <c r="D8" s="11">
        <v>0</v>
      </c>
      <c r="E8" s="11">
        <v>0</v>
      </c>
      <c r="F8" s="12">
        <f t="shared" si="0"/>
        <v>0</v>
      </c>
      <c r="G8" s="11">
        <v>0</v>
      </c>
      <c r="H8" s="11">
        <v>0</v>
      </c>
      <c r="I8" s="11">
        <v>1160690</v>
      </c>
      <c r="J8" s="11">
        <v>0</v>
      </c>
      <c r="K8" s="11">
        <v>0</v>
      </c>
      <c r="L8" s="32">
        <f t="shared" si="1"/>
        <v>1160690</v>
      </c>
      <c r="M8" s="50" t="s">
        <v>58</v>
      </c>
      <c r="N8" s="125"/>
      <c r="O8" s="124"/>
    </row>
    <row r="9" spans="1:15" ht="46.5" thickBot="1" x14ac:dyDescent="0.3">
      <c r="A9" s="35" t="s">
        <v>115</v>
      </c>
      <c r="B9" s="11">
        <v>0</v>
      </c>
      <c r="C9" s="11">
        <v>100146</v>
      </c>
      <c r="D9" s="11">
        <v>0</v>
      </c>
      <c r="E9" s="11">
        <v>0</v>
      </c>
      <c r="F9" s="12">
        <f t="shared" si="0"/>
        <v>100146</v>
      </c>
      <c r="G9" s="11">
        <v>0</v>
      </c>
      <c r="H9" s="11">
        <v>0</v>
      </c>
      <c r="I9" s="11">
        <v>0</v>
      </c>
      <c r="J9" s="11">
        <v>411066</v>
      </c>
      <c r="K9" s="11">
        <v>0</v>
      </c>
      <c r="L9" s="32">
        <f t="shared" si="1"/>
        <v>511212</v>
      </c>
      <c r="M9" s="144" t="s">
        <v>58</v>
      </c>
      <c r="N9" s="122">
        <v>282175890</v>
      </c>
      <c r="O9" s="124">
        <f t="shared" si="2"/>
        <v>281664678</v>
      </c>
    </row>
    <row r="10" spans="1:15" ht="13" thickBot="1" x14ac:dyDescent="0.3">
      <c r="A10" s="5" t="s">
        <v>1</v>
      </c>
      <c r="B10" s="10">
        <f t="shared" ref="B10:K10" si="3">SUM(B6:B9)</f>
        <v>4198471</v>
      </c>
      <c r="C10" s="10">
        <f t="shared" si="3"/>
        <v>100146</v>
      </c>
      <c r="D10" s="10">
        <f t="shared" si="3"/>
        <v>0</v>
      </c>
      <c r="E10" s="10">
        <f t="shared" si="3"/>
        <v>0</v>
      </c>
      <c r="F10" s="10">
        <f t="shared" si="3"/>
        <v>4298617</v>
      </c>
      <c r="G10" s="10">
        <f t="shared" si="3"/>
        <v>0</v>
      </c>
      <c r="H10" s="10">
        <f t="shared" si="3"/>
        <v>0</v>
      </c>
      <c r="I10" s="10">
        <f t="shared" si="3"/>
        <v>1160690</v>
      </c>
      <c r="J10" s="10">
        <f t="shared" si="3"/>
        <v>411066</v>
      </c>
      <c r="K10" s="10">
        <f t="shared" si="3"/>
        <v>80923823</v>
      </c>
      <c r="L10" s="32">
        <f t="shared" ref="L10" si="4">SUM(F10:K10)</f>
        <v>86794196</v>
      </c>
      <c r="M10" s="52">
        <f>SUM(F10:K10)</f>
        <v>86794196</v>
      </c>
      <c r="N10" s="122">
        <f>SUM(N6:N9)</f>
        <v>368896390</v>
      </c>
      <c r="O10" s="124">
        <f t="shared" si="2"/>
        <v>282102194</v>
      </c>
    </row>
    <row r="11" spans="1:15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138"/>
      <c r="N11" s="122" t="s">
        <v>58</v>
      </c>
      <c r="O11" s="51"/>
    </row>
    <row r="12" spans="1:15" x14ac:dyDescent="0.25">
      <c r="A12" s="6" t="s">
        <v>27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39"/>
    </row>
    <row r="13" spans="1:15" x14ac:dyDescent="0.25">
      <c r="A13" s="39" t="s">
        <v>52</v>
      </c>
      <c r="M13" s="101"/>
    </row>
    <row r="14" spans="1:15" x14ac:dyDescent="0.25">
      <c r="A14" s="39" t="s">
        <v>28</v>
      </c>
    </row>
    <row r="15" spans="1:15" x14ac:dyDescent="0.25">
      <c r="A15" s="39"/>
    </row>
    <row r="16" spans="1:15" x14ac:dyDescent="0.25">
      <c r="A16" s="39" t="s">
        <v>118</v>
      </c>
    </row>
    <row r="17" spans="1:13" x14ac:dyDescent="0.25">
      <c r="I17" s="71" t="s">
        <v>92</v>
      </c>
    </row>
    <row r="18" spans="1:13" x14ac:dyDescent="0.25">
      <c r="A18" s="39" t="s">
        <v>119</v>
      </c>
    </row>
    <row r="19" spans="1:13" x14ac:dyDescent="0.25">
      <c r="A19" s="39" t="s">
        <v>40</v>
      </c>
      <c r="M19" s="140"/>
    </row>
    <row r="21" spans="1:13" ht="21" customHeight="1" x14ac:dyDescent="0.25"/>
    <row r="22" spans="1:13" ht="18" customHeight="1" x14ac:dyDescent="0.25"/>
    <row r="23" spans="1:13" ht="18" customHeight="1" x14ac:dyDescent="0.25"/>
    <row r="24" spans="1:13" ht="18.75" customHeight="1" x14ac:dyDescent="0.25"/>
    <row r="25" spans="1:13" ht="18" customHeight="1" x14ac:dyDescent="0.25"/>
    <row r="26" spans="1:13" ht="35.5" customHeight="1" x14ac:dyDescent="0.25"/>
    <row r="27" spans="1:13" ht="20.25" customHeight="1" x14ac:dyDescent="0.25"/>
    <row r="28" spans="1:13" ht="26.25" customHeight="1" x14ac:dyDescent="0.25"/>
    <row r="29" spans="1:13" ht="28.5" customHeight="1" x14ac:dyDescent="0.25"/>
  </sheetData>
  <mergeCells count="1">
    <mergeCell ref="A1:M1"/>
  </mergeCells>
  <phoneticPr fontId="2" type="noConversion"/>
  <printOptions horizontalCentered="1"/>
  <pageMargins left="0" right="0" top="0.98425196850393704" bottom="0.98425196850393704" header="0.51181102362204722" footer="0.51181102362204722"/>
  <pageSetup paperSize="9" scale="77" orientation="landscape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53"/>
  <sheetViews>
    <sheetView zoomScale="90" zoomScaleNormal="90" workbookViewId="0">
      <selection activeCell="B19" sqref="B19:E19"/>
    </sheetView>
  </sheetViews>
  <sheetFormatPr defaultRowHeight="12.5" x14ac:dyDescent="0.25"/>
  <cols>
    <col min="1" max="1" width="26.1796875" customWidth="1"/>
    <col min="2" max="2" width="12.81640625" customWidth="1"/>
    <col min="3" max="3" width="15.54296875" customWidth="1"/>
    <col min="4" max="4" width="11.81640625" customWidth="1"/>
    <col min="5" max="5" width="15" customWidth="1"/>
    <col min="6" max="6" width="16.453125" customWidth="1"/>
    <col min="7" max="7" width="18" customWidth="1"/>
    <col min="8" max="8" width="15.1796875" customWidth="1"/>
    <col min="9" max="9" width="18.1796875" customWidth="1"/>
    <col min="10" max="10" width="14" style="51" customWidth="1"/>
    <col min="11" max="11" width="15.81640625" style="51" customWidth="1"/>
    <col min="12" max="12" width="10.54296875" style="71" customWidth="1"/>
    <col min="13" max="13" width="10.81640625" style="71" customWidth="1"/>
    <col min="14" max="15" width="9.81640625" style="71" customWidth="1"/>
    <col min="16" max="16" width="9" style="71" customWidth="1"/>
    <col min="17" max="17" width="9.81640625" style="71" customWidth="1"/>
    <col min="18" max="18" width="13" customWidth="1"/>
    <col min="19" max="19" width="10.1796875" customWidth="1"/>
    <col min="20" max="20" width="8.81640625" customWidth="1"/>
    <col min="21" max="21" width="10" customWidth="1"/>
    <col min="22" max="23" width="8.81640625" customWidth="1"/>
    <col min="24" max="24" width="9.54296875" customWidth="1"/>
    <col min="25" max="25" width="10.81640625" customWidth="1"/>
    <col min="26" max="27" width="8.81640625" customWidth="1"/>
    <col min="28" max="28" width="9.81640625" customWidth="1"/>
    <col min="29" max="29" width="8.81640625" customWidth="1"/>
    <col min="30" max="30" width="9.81640625" customWidth="1"/>
  </cols>
  <sheetData>
    <row r="1" spans="1:30" ht="15.5" x14ac:dyDescent="0.25">
      <c r="A1" s="166" t="s">
        <v>96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53"/>
      <c r="O1" s="53"/>
      <c r="P1" s="53"/>
      <c r="Q1" s="53"/>
      <c r="R1" s="5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</row>
    <row r="2" spans="1:30" ht="15.5" x14ac:dyDescent="0.25">
      <c r="A2" s="2"/>
      <c r="B2" s="3"/>
      <c r="C2" s="3"/>
      <c r="D2" s="3"/>
      <c r="E2" s="3"/>
      <c r="F2" s="3"/>
      <c r="G2" s="3"/>
      <c r="H2" s="3"/>
      <c r="I2" s="3"/>
      <c r="J2" s="109"/>
      <c r="K2" s="109"/>
      <c r="L2" s="103"/>
      <c r="M2" s="103"/>
      <c r="N2" s="103"/>
      <c r="O2" s="103"/>
      <c r="P2" s="103"/>
      <c r="Q2" s="10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0" ht="14" x14ac:dyDescent="0.3">
      <c r="A3" s="4" t="s">
        <v>4</v>
      </c>
    </row>
    <row r="4" spans="1:30" ht="13" thickBot="1" x14ac:dyDescent="0.3">
      <c r="B4" s="51"/>
      <c r="C4" s="51" t="s">
        <v>58</v>
      </c>
      <c r="D4" s="51" t="s">
        <v>58</v>
      </c>
      <c r="E4" s="51" t="s">
        <v>58</v>
      </c>
      <c r="F4" s="51" t="s">
        <v>58</v>
      </c>
      <c r="G4" s="51" t="s">
        <v>58</v>
      </c>
      <c r="H4" s="51" t="s">
        <v>58</v>
      </c>
      <c r="I4" s="51" t="s">
        <v>58</v>
      </c>
    </row>
    <row r="5" spans="1:30" ht="79.5" customHeight="1" thickBot="1" x14ac:dyDescent="0.3">
      <c r="A5" s="7" t="s">
        <v>0</v>
      </c>
      <c r="B5" s="37" t="s">
        <v>10</v>
      </c>
      <c r="C5" s="170" t="s">
        <v>14</v>
      </c>
      <c r="D5" s="37" t="s">
        <v>56</v>
      </c>
      <c r="E5" s="37" t="s">
        <v>61</v>
      </c>
      <c r="F5" s="170" t="s">
        <v>15</v>
      </c>
      <c r="G5" s="170" t="s">
        <v>16</v>
      </c>
      <c r="H5" s="170" t="s">
        <v>17</v>
      </c>
      <c r="I5" s="37" t="s">
        <v>62</v>
      </c>
      <c r="J5" s="159"/>
      <c r="K5" s="117"/>
      <c r="L5" s="104"/>
      <c r="M5" s="104"/>
      <c r="N5" s="104"/>
      <c r="O5" s="104"/>
      <c r="P5" s="104"/>
      <c r="Q5" s="104"/>
      <c r="R5" s="17"/>
      <c r="S5" s="17"/>
      <c r="T5" s="17"/>
      <c r="U5" s="18"/>
      <c r="V5" s="18"/>
      <c r="W5" s="18"/>
    </row>
    <row r="6" spans="1:30" ht="13" x14ac:dyDescent="0.25">
      <c r="A6" s="9" t="s">
        <v>5</v>
      </c>
      <c r="B6" s="74"/>
      <c r="C6" s="74"/>
      <c r="D6" s="74"/>
      <c r="E6" s="74"/>
      <c r="F6" s="74"/>
      <c r="G6" s="74"/>
      <c r="H6" s="74"/>
      <c r="I6" s="74"/>
      <c r="J6" s="160"/>
      <c r="K6" s="118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</row>
    <row r="7" spans="1:30" ht="36" customHeight="1" x14ac:dyDescent="0.25">
      <c r="A7" s="40" t="s">
        <v>43</v>
      </c>
      <c r="B7" s="75">
        <f>31064763+4038419+5600683+728089</f>
        <v>41431954</v>
      </c>
      <c r="C7" s="75">
        <f>5845782+759951+10930826+1421007</f>
        <v>18957566</v>
      </c>
      <c r="D7" s="75">
        <f>4614473+599882+8581276+1115566+3760475+488862</f>
        <v>19160534</v>
      </c>
      <c r="E7" s="75">
        <f>4299250+558902+7967980+1035837+1426471+185441</f>
        <v>15473881</v>
      </c>
      <c r="F7" s="75">
        <f>2718015+353342+5391795+700933</f>
        <v>9164085</v>
      </c>
      <c r="G7" s="75">
        <f>3147630+409192+5771881+750345-1</f>
        <v>10079047</v>
      </c>
      <c r="H7" s="75">
        <f>6575997+854879+12452933+1618881+2033100+264303</f>
        <v>23800093</v>
      </c>
      <c r="I7" s="75">
        <f>4242680+551548+8046851+1046091</f>
        <v>13887170</v>
      </c>
      <c r="J7" s="157">
        <f>SUM(C7:I7)</f>
        <v>110522376</v>
      </c>
      <c r="K7" s="111" t="s">
        <v>89</v>
      </c>
      <c r="L7" s="111"/>
      <c r="M7" s="111"/>
      <c r="N7" s="105"/>
      <c r="O7" s="105"/>
      <c r="P7" s="105"/>
      <c r="Q7" s="105"/>
      <c r="R7" s="20"/>
      <c r="S7" s="20"/>
      <c r="T7" s="21"/>
      <c r="U7" s="21"/>
      <c r="V7" s="22"/>
      <c r="W7" s="23"/>
    </row>
    <row r="8" spans="1:30" x14ac:dyDescent="0.25">
      <c r="A8" s="42" t="s">
        <v>33</v>
      </c>
      <c r="B8" s="76">
        <v>58800</v>
      </c>
      <c r="C8" s="76">
        <v>0</v>
      </c>
      <c r="D8" s="76">
        <v>0</v>
      </c>
      <c r="E8" s="119">
        <f>44490+144780</f>
        <v>189270</v>
      </c>
      <c r="F8" s="76">
        <v>0</v>
      </c>
      <c r="G8" s="76">
        <v>150000</v>
      </c>
      <c r="H8" s="76">
        <v>0</v>
      </c>
      <c r="I8" s="76">
        <v>189900</v>
      </c>
      <c r="J8" s="157">
        <f t="shared" ref="J8:J18" si="0">SUM(C8:I8)</f>
        <v>529170</v>
      </c>
      <c r="K8" s="111"/>
      <c r="L8" s="112"/>
      <c r="M8" s="112"/>
      <c r="N8" s="106"/>
      <c r="O8" s="106"/>
      <c r="P8" s="106"/>
      <c r="Q8" s="106"/>
      <c r="R8" s="24"/>
      <c r="S8" s="24"/>
      <c r="T8" s="21"/>
      <c r="U8" s="21"/>
      <c r="V8" s="22"/>
      <c r="W8" s="23"/>
    </row>
    <row r="9" spans="1:30" x14ac:dyDescent="0.25">
      <c r="A9" s="43" t="s">
        <v>42</v>
      </c>
      <c r="B9" s="76">
        <v>0</v>
      </c>
      <c r="C9" s="119">
        <f>1373000+160642+841500</f>
        <v>2375142</v>
      </c>
      <c r="D9" s="76">
        <v>4649500</v>
      </c>
      <c r="E9" s="76">
        <f>490500+57389+220500</f>
        <v>768389</v>
      </c>
      <c r="F9" s="76">
        <f>577500+67569+1534500</f>
        <v>2179569</v>
      </c>
      <c r="G9" s="76">
        <f>1061500+124193+766000</f>
        <v>1951693</v>
      </c>
      <c r="H9" s="76">
        <f>320500+37499+2038500</f>
        <v>2396499</v>
      </c>
      <c r="I9" s="76">
        <f>1058500+123846+1359000</f>
        <v>2541346</v>
      </c>
      <c r="J9" s="157">
        <f t="shared" si="0"/>
        <v>16862138</v>
      </c>
      <c r="K9" s="111"/>
      <c r="L9" s="112"/>
      <c r="M9" s="112"/>
      <c r="N9" s="106"/>
      <c r="O9" s="106"/>
      <c r="P9" s="106"/>
      <c r="Q9" s="106"/>
      <c r="R9" s="24"/>
      <c r="S9" s="24"/>
      <c r="T9" s="21"/>
      <c r="U9" s="21"/>
      <c r="V9" s="22"/>
      <c r="W9" s="23"/>
    </row>
    <row r="10" spans="1:30" ht="13" thickBot="1" x14ac:dyDescent="0.3">
      <c r="A10" s="36" t="s">
        <v>39</v>
      </c>
      <c r="B10" s="126">
        <v>-370946</v>
      </c>
      <c r="C10" s="126">
        <v>-331287</v>
      </c>
      <c r="D10" s="126">
        <v>-369490</v>
      </c>
      <c r="E10" s="126">
        <v>-154310</v>
      </c>
      <c r="F10" s="126">
        <v>-1058</v>
      </c>
      <c r="G10" s="126">
        <v>-1287</v>
      </c>
      <c r="H10" s="126">
        <v>-279739</v>
      </c>
      <c r="I10" s="126">
        <v>-36956</v>
      </c>
      <c r="J10" s="157">
        <f t="shared" si="0"/>
        <v>-1174127</v>
      </c>
      <c r="K10" s="111"/>
      <c r="L10" s="112"/>
      <c r="M10" s="112"/>
      <c r="N10" s="106"/>
      <c r="O10" s="106"/>
      <c r="P10" s="106"/>
      <c r="Q10" s="106"/>
      <c r="R10" s="24"/>
      <c r="S10" s="24"/>
      <c r="T10" s="21"/>
      <c r="U10" s="21"/>
      <c r="V10" s="22"/>
      <c r="W10" s="23"/>
    </row>
    <row r="11" spans="1:30" ht="35" thickBot="1" x14ac:dyDescent="0.3">
      <c r="A11" s="41" t="s">
        <v>44</v>
      </c>
      <c r="B11" s="77">
        <f>370946-58800</f>
        <v>312146</v>
      </c>
      <c r="C11" s="77">
        <f>961+330326</f>
        <v>331287</v>
      </c>
      <c r="D11" s="77">
        <f>51990+317500</f>
        <v>369490</v>
      </c>
      <c r="E11" s="77">
        <f>45510+44450+19860-144780</f>
        <v>-34960</v>
      </c>
      <c r="F11" s="77">
        <v>1058</v>
      </c>
      <c r="G11" s="77">
        <v>1287</v>
      </c>
      <c r="H11" s="77">
        <f>3949+275790</f>
        <v>279739</v>
      </c>
      <c r="I11" s="77">
        <f>36956-189900</f>
        <v>-152944</v>
      </c>
      <c r="J11" s="157">
        <f t="shared" si="0"/>
        <v>794957</v>
      </c>
      <c r="K11" s="111"/>
      <c r="L11" s="112"/>
      <c r="M11" s="112"/>
      <c r="N11" s="106"/>
      <c r="O11" s="107"/>
      <c r="P11" s="106"/>
      <c r="Q11" s="106"/>
      <c r="R11" s="24"/>
      <c r="S11" s="24"/>
      <c r="T11" s="21"/>
      <c r="U11" s="21"/>
      <c r="V11" s="22"/>
      <c r="W11" s="23"/>
    </row>
    <row r="12" spans="1:30" ht="13.5" thickBot="1" x14ac:dyDescent="0.35">
      <c r="A12" s="16" t="s">
        <v>6</v>
      </c>
      <c r="B12" s="78">
        <f t="shared" ref="B12:I12" si="1">SUM(B7:B11)</f>
        <v>41431954</v>
      </c>
      <c r="C12" s="78">
        <f t="shared" si="1"/>
        <v>21332708</v>
      </c>
      <c r="D12" s="78">
        <f t="shared" si="1"/>
        <v>23810034</v>
      </c>
      <c r="E12" s="78">
        <f t="shared" si="1"/>
        <v>16242270</v>
      </c>
      <c r="F12" s="78">
        <f t="shared" si="1"/>
        <v>11343654</v>
      </c>
      <c r="G12" s="78">
        <f t="shared" si="1"/>
        <v>12180740</v>
      </c>
      <c r="H12" s="78">
        <f t="shared" si="1"/>
        <v>26196592</v>
      </c>
      <c r="I12" s="78">
        <f t="shared" si="1"/>
        <v>16428516</v>
      </c>
      <c r="J12" s="157">
        <f t="shared" si="0"/>
        <v>127534514</v>
      </c>
      <c r="K12" s="111"/>
      <c r="L12" s="113"/>
      <c r="M12" s="113"/>
      <c r="N12" s="25"/>
      <c r="O12" s="25"/>
      <c r="P12" s="25"/>
      <c r="Q12" s="25"/>
      <c r="R12" s="25"/>
      <c r="S12" s="25"/>
      <c r="T12" s="25"/>
      <c r="U12" s="25"/>
      <c r="V12" s="25"/>
      <c r="W12" s="23"/>
    </row>
    <row r="13" spans="1:30" ht="13" x14ac:dyDescent="0.3">
      <c r="A13" s="15" t="s">
        <v>12</v>
      </c>
      <c r="B13" s="79">
        <v>0</v>
      </c>
      <c r="C13" s="79"/>
      <c r="D13" s="79"/>
      <c r="E13" s="79"/>
      <c r="F13" s="79"/>
      <c r="G13" s="79"/>
      <c r="H13" s="79"/>
      <c r="I13" s="79"/>
      <c r="J13" s="157">
        <f t="shared" si="0"/>
        <v>0</v>
      </c>
      <c r="K13" s="113"/>
      <c r="L13" s="113"/>
      <c r="M13" s="113"/>
      <c r="N13" s="25"/>
      <c r="O13" s="25"/>
      <c r="P13" s="25"/>
      <c r="Q13" s="25"/>
      <c r="R13" s="25"/>
      <c r="S13" s="25"/>
      <c r="T13" s="25"/>
      <c r="U13" s="25"/>
      <c r="V13" s="25"/>
      <c r="W13" s="23"/>
    </row>
    <row r="14" spans="1:30" x14ac:dyDescent="0.25">
      <c r="A14" s="13" t="s">
        <v>18</v>
      </c>
      <c r="B14" s="80">
        <v>370946</v>
      </c>
      <c r="C14" s="80">
        <v>961</v>
      </c>
      <c r="D14" s="80">
        <v>317500</v>
      </c>
      <c r="E14" s="80">
        <f>90000+44450</f>
        <v>134450</v>
      </c>
      <c r="F14" s="80">
        <v>1058</v>
      </c>
      <c r="G14" s="80">
        <v>1287</v>
      </c>
      <c r="H14" s="80">
        <v>3949</v>
      </c>
      <c r="I14" s="80">
        <v>0</v>
      </c>
      <c r="J14" s="157">
        <f t="shared" si="0"/>
        <v>459205</v>
      </c>
      <c r="K14" s="114">
        <v>801580</v>
      </c>
      <c r="L14" s="113">
        <f>J14-K14</f>
        <v>-342375</v>
      </c>
      <c r="M14" s="115"/>
      <c r="N14" s="26"/>
      <c r="O14" s="26"/>
      <c r="P14" s="26"/>
      <c r="Q14" s="26"/>
      <c r="R14" s="26"/>
      <c r="S14" s="26"/>
      <c r="T14" s="27"/>
      <c r="U14" s="25"/>
      <c r="V14" s="27"/>
      <c r="W14" s="23"/>
    </row>
    <row r="15" spans="1:30" x14ac:dyDescent="0.25">
      <c r="A15" s="42" t="s">
        <v>34</v>
      </c>
      <c r="B15" s="81">
        <v>0</v>
      </c>
      <c r="C15" s="81">
        <v>330326</v>
      </c>
      <c r="D15" s="81">
        <v>51990</v>
      </c>
      <c r="E15" s="81">
        <v>19860</v>
      </c>
      <c r="F15" s="81">
        <v>0</v>
      </c>
      <c r="G15" s="81">
        <v>0</v>
      </c>
      <c r="H15" s="81">
        <v>275790</v>
      </c>
      <c r="I15" s="81">
        <v>36956</v>
      </c>
      <c r="J15" s="157">
        <f t="shared" si="0"/>
        <v>714922</v>
      </c>
      <c r="K15" s="111"/>
      <c r="L15" s="115"/>
      <c r="M15" s="115"/>
      <c r="N15" s="26"/>
      <c r="O15" s="26"/>
      <c r="P15" s="26"/>
      <c r="Q15" s="26"/>
      <c r="R15" s="26"/>
      <c r="S15" s="26"/>
      <c r="T15" s="27"/>
      <c r="U15" s="25"/>
      <c r="V15" s="26"/>
      <c r="W15" s="23"/>
    </row>
    <row r="16" spans="1:30" ht="13" thickBot="1" x14ac:dyDescent="0.3">
      <c r="A16" s="127" t="s">
        <v>21</v>
      </c>
      <c r="B16" s="128">
        <v>0</v>
      </c>
      <c r="C16" s="128">
        <v>0</v>
      </c>
      <c r="D16" s="129">
        <v>0</v>
      </c>
      <c r="E16" s="128">
        <v>0</v>
      </c>
      <c r="F16" s="128">
        <v>0</v>
      </c>
      <c r="G16" s="128">
        <v>0</v>
      </c>
      <c r="H16" s="128">
        <v>0</v>
      </c>
      <c r="I16" s="128">
        <v>0</v>
      </c>
      <c r="J16" s="157">
        <f t="shared" si="0"/>
        <v>0</v>
      </c>
      <c r="K16" s="111"/>
      <c r="L16" s="115"/>
      <c r="M16" s="115"/>
      <c r="N16" s="26"/>
      <c r="O16" s="26"/>
      <c r="P16" s="26"/>
      <c r="Q16" s="26"/>
      <c r="R16" s="26"/>
      <c r="S16" s="26"/>
      <c r="T16" s="27"/>
      <c r="U16" s="25"/>
      <c r="V16" s="26"/>
      <c r="W16" s="23"/>
    </row>
    <row r="17" spans="1:23" ht="13.5" thickBot="1" x14ac:dyDescent="0.35">
      <c r="A17" s="16" t="s">
        <v>13</v>
      </c>
      <c r="B17" s="78">
        <f>SUM(B14:B16)</f>
        <v>370946</v>
      </c>
      <c r="C17" s="78">
        <f>SUM(C14:C15)</f>
        <v>331287</v>
      </c>
      <c r="D17" s="84">
        <f t="shared" ref="D17:I17" si="2">SUM(D14:D16)</f>
        <v>369490</v>
      </c>
      <c r="E17" s="78">
        <f t="shared" si="2"/>
        <v>154310</v>
      </c>
      <c r="F17" s="78">
        <f t="shared" si="2"/>
        <v>1058</v>
      </c>
      <c r="G17" s="78">
        <f t="shared" si="2"/>
        <v>1287</v>
      </c>
      <c r="H17" s="78">
        <f t="shared" si="2"/>
        <v>279739</v>
      </c>
      <c r="I17" s="78">
        <f t="shared" si="2"/>
        <v>36956</v>
      </c>
      <c r="J17" s="157">
        <f t="shared" si="0"/>
        <v>1174127</v>
      </c>
      <c r="K17" s="113"/>
      <c r="L17" s="113"/>
      <c r="M17" s="113"/>
      <c r="N17" s="25"/>
      <c r="O17" s="25"/>
      <c r="P17" s="25"/>
      <c r="Q17" s="25"/>
      <c r="R17" s="27"/>
      <c r="S17" s="27"/>
      <c r="T17" s="27"/>
      <c r="U17" s="27"/>
      <c r="V17" s="27"/>
      <c r="W17" s="28"/>
    </row>
    <row r="18" spans="1:23" s="50" customFormat="1" ht="13" thickBot="1" x14ac:dyDescent="0.3">
      <c r="B18" s="110">
        <f t="shared" ref="B18:I18" si="3">B12+B17</f>
        <v>41802900</v>
      </c>
      <c r="C18" s="110">
        <f t="shared" si="3"/>
        <v>21663995</v>
      </c>
      <c r="D18" s="110">
        <f t="shared" si="3"/>
        <v>24179524</v>
      </c>
      <c r="E18" s="110">
        <f t="shared" si="3"/>
        <v>16396580</v>
      </c>
      <c r="F18" s="110">
        <f t="shared" si="3"/>
        <v>11344712</v>
      </c>
      <c r="G18" s="110">
        <f t="shared" si="3"/>
        <v>12182027</v>
      </c>
      <c r="H18" s="110">
        <f t="shared" si="3"/>
        <v>26476331</v>
      </c>
      <c r="I18" s="110">
        <f t="shared" si="3"/>
        <v>16465472</v>
      </c>
      <c r="J18" s="157">
        <f t="shared" si="0"/>
        <v>128708641</v>
      </c>
      <c r="K18" s="158"/>
      <c r="L18" s="110"/>
      <c r="M18" s="110"/>
      <c r="N18" s="110"/>
      <c r="O18" s="110"/>
      <c r="P18" s="110"/>
    </row>
    <row r="19" spans="1:23" ht="78" customHeight="1" thickBot="1" x14ac:dyDescent="0.3">
      <c r="A19" s="7" t="s">
        <v>0</v>
      </c>
      <c r="B19" s="171" t="s">
        <v>19</v>
      </c>
      <c r="C19" s="172" t="s">
        <v>86</v>
      </c>
      <c r="D19" s="172" t="s">
        <v>2</v>
      </c>
      <c r="E19" s="172" t="s">
        <v>36</v>
      </c>
      <c r="F19" s="37" t="s">
        <v>20</v>
      </c>
      <c r="G19" s="44" t="s">
        <v>3</v>
      </c>
      <c r="H19" s="130"/>
      <c r="I19" s="131"/>
      <c r="J19" s="161"/>
      <c r="K19" s="131"/>
      <c r="L19" s="131"/>
      <c r="M19" s="131"/>
    </row>
    <row r="20" spans="1:23" x14ac:dyDescent="0.25">
      <c r="A20" s="9" t="s">
        <v>5</v>
      </c>
      <c r="B20" s="85"/>
      <c r="C20" s="86"/>
      <c r="D20" s="86"/>
      <c r="E20" s="85"/>
      <c r="F20" s="87"/>
      <c r="G20" s="45"/>
      <c r="H20" s="71"/>
      <c r="I20" s="71"/>
      <c r="K20" s="71"/>
    </row>
    <row r="21" spans="1:23" ht="23.5" x14ac:dyDescent="0.3">
      <c r="A21" s="40" t="s">
        <v>31</v>
      </c>
      <c r="B21" s="75">
        <f>7871345+919579</f>
        <v>8790924</v>
      </c>
      <c r="C21" s="80">
        <f>36778776+4781241</f>
        <v>41560017</v>
      </c>
      <c r="D21" s="80">
        <f>53855851+7001261+12301001+1740712</f>
        <v>74898825</v>
      </c>
      <c r="E21" s="80">
        <f>5427102+705523-2512800-326664</f>
        <v>3293161</v>
      </c>
      <c r="F21" s="88">
        <f>28209968+3672719</f>
        <v>31882687</v>
      </c>
      <c r="G21" s="46">
        <f>B7+C7+D7+E7+F7+G7+H7+I7+B21+C21+D21+E21+F21</f>
        <v>312379944</v>
      </c>
      <c r="H21" s="71"/>
      <c r="I21" s="71"/>
      <c r="K21" s="71"/>
    </row>
    <row r="22" spans="1:23" ht="13" x14ac:dyDescent="0.3">
      <c r="A22" s="43" t="s">
        <v>33</v>
      </c>
      <c r="B22" s="76">
        <v>0</v>
      </c>
      <c r="C22" s="91">
        <v>0</v>
      </c>
      <c r="D22" s="82">
        <v>9375111</v>
      </c>
      <c r="E22" s="80">
        <f>2793730+2839464</f>
        <v>5633194</v>
      </c>
      <c r="F22" s="89">
        <f>466360355+151093772-2900000</f>
        <v>614554127</v>
      </c>
      <c r="G22" s="46">
        <f t="shared" ref="G22:G37" si="4">B8+C8+D8+E8+F8+G8+H8+I8+B22+C22+D22+E22+F22</f>
        <v>630150402</v>
      </c>
      <c r="H22" s="71"/>
      <c r="I22" s="71"/>
      <c r="K22" s="71"/>
    </row>
    <row r="23" spans="1:23" ht="13" x14ac:dyDescent="0.3">
      <c r="A23" s="43" t="s">
        <v>42</v>
      </c>
      <c r="B23" s="76">
        <v>0</v>
      </c>
      <c r="C23" s="91">
        <v>0</v>
      </c>
      <c r="D23" s="82">
        <v>0</v>
      </c>
      <c r="E23" s="80">
        <v>0</v>
      </c>
      <c r="F23" s="90"/>
      <c r="G23" s="46">
        <f t="shared" si="4"/>
        <v>16862138</v>
      </c>
      <c r="H23" s="71"/>
      <c r="I23" s="71"/>
      <c r="K23" s="71"/>
    </row>
    <row r="24" spans="1:23" ht="13" x14ac:dyDescent="0.3">
      <c r="A24" s="43" t="s">
        <v>39</v>
      </c>
      <c r="B24" s="76">
        <v>-72185</v>
      </c>
      <c r="C24" s="91">
        <v>-6890337</v>
      </c>
      <c r="D24" s="82">
        <v>-9375112</v>
      </c>
      <c r="E24" s="80">
        <v>-2793730</v>
      </c>
      <c r="F24" s="90">
        <f>-194856055+352558</f>
        <v>-194503497</v>
      </c>
      <c r="G24" s="46">
        <f t="shared" si="4"/>
        <v>-215179934</v>
      </c>
      <c r="H24" s="71"/>
      <c r="I24" s="71"/>
      <c r="K24" s="71"/>
    </row>
    <row r="25" spans="1:23" ht="24" thickBot="1" x14ac:dyDescent="0.35">
      <c r="A25" s="36" t="s">
        <v>95</v>
      </c>
      <c r="B25" s="76">
        <v>0</v>
      </c>
      <c r="C25" s="91">
        <v>0</v>
      </c>
      <c r="D25" s="91">
        <v>0</v>
      </c>
      <c r="E25" s="81">
        <v>0</v>
      </c>
      <c r="F25" s="92">
        <f>75499759+35454887+78988457+1935366</f>
        <v>191878469</v>
      </c>
      <c r="G25" s="46">
        <f t="shared" si="4"/>
        <v>192985572</v>
      </c>
      <c r="H25" s="71"/>
      <c r="I25" s="71"/>
      <c r="K25" s="71"/>
    </row>
    <row r="26" spans="1:23" ht="13.5" thickBot="1" x14ac:dyDescent="0.35">
      <c r="A26" s="41" t="s">
        <v>47</v>
      </c>
      <c r="B26" s="93">
        <v>0</v>
      </c>
      <c r="C26" s="94">
        <v>0</v>
      </c>
      <c r="D26" s="94">
        <v>0</v>
      </c>
      <c r="E26" s="94">
        <v>0</v>
      </c>
      <c r="F26" s="93">
        <v>0</v>
      </c>
      <c r="G26" s="46">
        <f t="shared" si="4"/>
        <v>168966468</v>
      </c>
      <c r="H26" s="71"/>
      <c r="I26" s="71"/>
      <c r="K26" s="71"/>
    </row>
    <row r="27" spans="1:23" ht="13.5" thickBot="1" x14ac:dyDescent="0.35">
      <c r="A27" s="41" t="s">
        <v>45</v>
      </c>
      <c r="B27" s="93">
        <v>72182</v>
      </c>
      <c r="C27" s="94">
        <f>-3540000+139685</f>
        <v>-3400315</v>
      </c>
      <c r="D27" s="94">
        <v>3097468</v>
      </c>
      <c r="E27" s="94">
        <v>0</v>
      </c>
      <c r="F27" s="93">
        <v>38201962</v>
      </c>
      <c r="G27" s="46">
        <f t="shared" si="4"/>
        <v>37971297</v>
      </c>
      <c r="H27" s="71"/>
      <c r="I27" s="71"/>
      <c r="K27" s="71"/>
    </row>
    <row r="28" spans="1:23" ht="24" thickBot="1" x14ac:dyDescent="0.35">
      <c r="A28" s="41" t="s">
        <v>46</v>
      </c>
      <c r="B28" s="77">
        <v>0</v>
      </c>
      <c r="C28" s="95">
        <v>13815</v>
      </c>
      <c r="D28" s="95">
        <v>0</v>
      </c>
      <c r="E28" s="83">
        <v>0</v>
      </c>
      <c r="F28" s="96">
        <v>0</v>
      </c>
      <c r="G28" s="46">
        <f t="shared" si="4"/>
        <v>843966</v>
      </c>
      <c r="H28" s="71"/>
      <c r="I28" s="71"/>
      <c r="K28" s="71"/>
    </row>
    <row r="29" spans="1:23" ht="29.4" customHeight="1" thickBot="1" x14ac:dyDescent="0.35">
      <c r="A29" s="41" t="s">
        <v>93</v>
      </c>
      <c r="B29" s="77">
        <v>0</v>
      </c>
      <c r="C29" s="95">
        <v>0</v>
      </c>
      <c r="D29" s="95">
        <v>0</v>
      </c>
      <c r="E29" s="94">
        <v>0</v>
      </c>
      <c r="F29" s="93">
        <f>-12428938+200000-4401926+12428938</f>
        <v>-4201926</v>
      </c>
      <c r="G29" s="46">
        <f t="shared" si="4"/>
        <v>-3487004</v>
      </c>
      <c r="H29" s="71"/>
      <c r="I29" s="71"/>
      <c r="K29" s="71"/>
    </row>
    <row r="30" spans="1:23" ht="13.5" thickBot="1" x14ac:dyDescent="0.35">
      <c r="A30" s="48" t="s">
        <v>38</v>
      </c>
      <c r="B30" s="94"/>
      <c r="C30" s="97">
        <v>0</v>
      </c>
      <c r="D30" s="97">
        <v>0</v>
      </c>
      <c r="E30" s="94">
        <v>0</v>
      </c>
      <c r="F30" s="93">
        <v>-213450044</v>
      </c>
      <c r="G30" s="46">
        <f t="shared" si="4"/>
        <v>-213450044</v>
      </c>
      <c r="H30" s="71"/>
      <c r="I30" s="71"/>
      <c r="K30" s="71"/>
    </row>
    <row r="31" spans="1:23" ht="13.5" thickBot="1" x14ac:dyDescent="0.35">
      <c r="A31" s="14" t="s">
        <v>6</v>
      </c>
      <c r="B31" s="78">
        <f>SUM(B21:B30)</f>
        <v>8790921</v>
      </c>
      <c r="C31" s="78">
        <f>SUM(C21:C30)</f>
        <v>31283180</v>
      </c>
      <c r="D31" s="78">
        <f>SUM(D21:D30)</f>
        <v>77996292</v>
      </c>
      <c r="E31" s="78">
        <f>SUM(E21:E30)</f>
        <v>6132625</v>
      </c>
      <c r="F31" s="78">
        <f>SUM(F20:F30)</f>
        <v>464361778</v>
      </c>
      <c r="G31" s="46">
        <f t="shared" si="4"/>
        <v>590109869</v>
      </c>
      <c r="H31" s="101"/>
      <c r="I31" s="71"/>
      <c r="J31" s="52"/>
      <c r="K31" s="71"/>
    </row>
    <row r="32" spans="1:23" ht="13" x14ac:dyDescent="0.3">
      <c r="A32" s="15" t="s">
        <v>12</v>
      </c>
      <c r="B32" s="98"/>
      <c r="C32" s="98"/>
      <c r="D32" s="98"/>
      <c r="E32" s="98"/>
      <c r="F32" s="99">
        <v>0</v>
      </c>
      <c r="G32" s="46">
        <f t="shared" si="4"/>
        <v>170511541</v>
      </c>
      <c r="H32" s="71"/>
      <c r="I32" s="71"/>
      <c r="K32" s="71"/>
    </row>
    <row r="33" spans="1:11" ht="13" x14ac:dyDescent="0.3">
      <c r="A33" s="49" t="s">
        <v>51</v>
      </c>
      <c r="B33" s="98">
        <v>0</v>
      </c>
      <c r="C33" s="98">
        <v>0</v>
      </c>
      <c r="D33" s="98">
        <v>0</v>
      </c>
      <c r="E33" s="98">
        <v>0</v>
      </c>
      <c r="F33" s="99">
        <v>0</v>
      </c>
      <c r="G33" s="46">
        <f>B33+C33+D33+E33+F33</f>
        <v>0</v>
      </c>
      <c r="H33" s="71"/>
      <c r="I33" s="71"/>
      <c r="K33" s="71"/>
    </row>
    <row r="34" spans="1:11" ht="13" x14ac:dyDescent="0.3">
      <c r="A34" s="34" t="s">
        <v>35</v>
      </c>
      <c r="B34" s="80">
        <v>0</v>
      </c>
      <c r="C34" s="80"/>
      <c r="D34" s="141"/>
      <c r="E34" s="80"/>
      <c r="F34" s="80">
        <v>0</v>
      </c>
      <c r="G34" s="46">
        <f t="shared" si="4"/>
        <v>0</v>
      </c>
      <c r="H34" s="71"/>
      <c r="I34" s="71"/>
      <c r="K34" s="71"/>
    </row>
    <row r="35" spans="1:11" ht="13" x14ac:dyDescent="0.3">
      <c r="A35" s="34" t="s">
        <v>34</v>
      </c>
      <c r="B35" s="80">
        <v>72185</v>
      </c>
      <c r="C35" s="80">
        <v>6890337</v>
      </c>
      <c r="D35" s="80">
        <v>9375111</v>
      </c>
      <c r="E35" s="80">
        <v>2793730</v>
      </c>
      <c r="F35" s="80">
        <v>194856055</v>
      </c>
      <c r="G35" s="46">
        <f t="shared" si="4"/>
        <v>686792976</v>
      </c>
      <c r="H35" s="71"/>
      <c r="I35" s="71"/>
      <c r="K35" s="71"/>
    </row>
    <row r="36" spans="1:11" ht="13.5" thickBot="1" x14ac:dyDescent="0.35">
      <c r="A36" s="55" t="s">
        <v>21</v>
      </c>
      <c r="B36" s="83">
        <v>0</v>
      </c>
      <c r="C36" s="83">
        <v>0</v>
      </c>
      <c r="D36" s="83">
        <v>0</v>
      </c>
      <c r="E36" s="83">
        <v>0</v>
      </c>
      <c r="F36" s="83">
        <v>0</v>
      </c>
      <c r="G36" s="46">
        <f t="shared" si="4"/>
        <v>1259712834</v>
      </c>
      <c r="H36" s="71"/>
      <c r="I36" s="71"/>
      <c r="K36" s="71"/>
    </row>
    <row r="37" spans="1:11" ht="13.5" thickBot="1" x14ac:dyDescent="0.35">
      <c r="A37" s="16" t="s">
        <v>13</v>
      </c>
      <c r="B37" s="78">
        <f>SUM(B34:B36)</f>
        <v>72185</v>
      </c>
      <c r="C37" s="78">
        <f>SUM(C34:C36)</f>
        <v>6890337</v>
      </c>
      <c r="D37" s="78">
        <f>SUM(D34:D36)</f>
        <v>9375111</v>
      </c>
      <c r="E37" s="78">
        <f>SUM(E34:E36)</f>
        <v>2793730</v>
      </c>
      <c r="F37" s="78">
        <f>SUM(F33:F36)</f>
        <v>194856055</v>
      </c>
      <c r="G37" s="46">
        <f t="shared" si="4"/>
        <v>230849556</v>
      </c>
      <c r="H37" s="101"/>
      <c r="I37" s="101"/>
      <c r="K37" s="71"/>
    </row>
    <row r="38" spans="1:11" s="50" customFormat="1" x14ac:dyDescent="0.25">
      <c r="B38" s="110">
        <f t="shared" ref="B38:F38" si="5">B31+B37</f>
        <v>8863106</v>
      </c>
      <c r="C38" s="110">
        <f t="shared" si="5"/>
        <v>38173517</v>
      </c>
      <c r="D38" s="110">
        <f t="shared" si="5"/>
        <v>87371403</v>
      </c>
      <c r="E38" s="110">
        <f t="shared" si="5"/>
        <v>8926355</v>
      </c>
      <c r="F38" s="110">
        <f t="shared" si="5"/>
        <v>659217833</v>
      </c>
      <c r="G38" s="110">
        <f>J18+B18+B38+C38+D38+E38+F38-1</f>
        <v>973063754</v>
      </c>
      <c r="H38" s="110"/>
      <c r="I38" s="110"/>
    </row>
    <row r="39" spans="1:11" x14ac:dyDescent="0.25">
      <c r="A39" s="47"/>
      <c r="B39" s="110" t="s">
        <v>58</v>
      </c>
      <c r="C39" s="110" t="s">
        <v>58</v>
      </c>
      <c r="D39" s="110" t="s">
        <v>58</v>
      </c>
      <c r="E39" s="110" t="s">
        <v>58</v>
      </c>
      <c r="F39" s="110" t="s">
        <v>58</v>
      </c>
      <c r="G39" s="50" t="s">
        <v>58</v>
      </c>
      <c r="H39" s="52"/>
    </row>
    <row r="40" spans="1:11" x14ac:dyDescent="0.25">
      <c r="A40" s="47"/>
      <c r="B40" s="50"/>
      <c r="C40" s="110"/>
      <c r="D40" s="50"/>
      <c r="E40" s="110"/>
      <c r="F40" s="110"/>
      <c r="G40" s="110"/>
    </row>
    <row r="41" spans="1:11" x14ac:dyDescent="0.25">
      <c r="A41" s="47"/>
      <c r="C41" s="101"/>
      <c r="D41" s="71"/>
      <c r="F41" s="47"/>
      <c r="G41" s="29"/>
    </row>
    <row r="42" spans="1:11" x14ac:dyDescent="0.25">
      <c r="A42" s="54"/>
      <c r="B42" s="47"/>
      <c r="C42" s="102"/>
      <c r="D42" s="71"/>
      <c r="E42" s="29"/>
      <c r="F42" s="29"/>
    </row>
    <row r="43" spans="1:11" x14ac:dyDescent="0.25">
      <c r="A43" s="54"/>
      <c r="B43" s="47"/>
      <c r="C43" s="102"/>
      <c r="D43" s="71"/>
    </row>
    <row r="44" spans="1:11" x14ac:dyDescent="0.25">
      <c r="A44" s="54"/>
      <c r="B44" s="47"/>
      <c r="C44" s="101"/>
      <c r="D44" s="71"/>
    </row>
    <row r="45" spans="1:11" x14ac:dyDescent="0.25">
      <c r="B45" s="47"/>
      <c r="C45" s="100"/>
      <c r="D45" s="71"/>
    </row>
    <row r="46" spans="1:11" x14ac:dyDescent="0.25">
      <c r="C46" s="100"/>
      <c r="D46" s="71"/>
    </row>
    <row r="50" spans="3:3" x14ac:dyDescent="0.25">
      <c r="C50" s="29"/>
    </row>
    <row r="51" spans="3:3" x14ac:dyDescent="0.25">
      <c r="C51" s="29"/>
    </row>
    <row r="53" spans="3:3" x14ac:dyDescent="0.25">
      <c r="C53" s="29"/>
    </row>
  </sheetData>
  <mergeCells count="1">
    <mergeCell ref="A1:M1"/>
  </mergeCells>
  <phoneticPr fontId="2" type="noConversion"/>
  <printOptions horizontalCentered="1"/>
  <pageMargins left="0" right="0" top="0.55118110236220474" bottom="0.98425196850393704" header="0.51181102362204722" footer="0.51181102362204722"/>
  <pageSetup paperSize="9" scale="52" orientation="landscape" horizontalDpi="4294967293" r:id="rId1"/>
  <headerFooter alignWithMargins="0"/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32"/>
  <sheetViews>
    <sheetView tabSelected="1" zoomScaleNormal="100" workbookViewId="0">
      <pane xSplit="1" topLeftCell="B1" activePane="topRight" state="frozen"/>
      <selection pane="topRight" activeCell="F20" sqref="F20"/>
    </sheetView>
  </sheetViews>
  <sheetFormatPr defaultRowHeight="13" x14ac:dyDescent="0.25"/>
  <cols>
    <col min="1" max="1" width="27.81640625" style="30" customWidth="1"/>
    <col min="2" max="4" width="18.54296875" style="66" customWidth="1"/>
    <col min="5" max="5" width="18" style="66" customWidth="1"/>
    <col min="6" max="6" width="17.81640625" style="66" customWidth="1"/>
    <col min="7" max="7" width="19.81640625" style="164" customWidth="1"/>
    <col min="8" max="8" width="19" style="72" customWidth="1"/>
    <col min="9" max="9" width="17.6328125" style="145" bestFit="1" customWidth="1"/>
    <col min="10" max="10" width="16.54296875" style="50" bestFit="1" customWidth="1"/>
    <col min="11" max="11" width="26" style="50" customWidth="1"/>
    <col min="12" max="12" width="18.81640625" style="134" bestFit="1" customWidth="1"/>
    <col min="13" max="13" width="16.1796875" style="133" bestFit="1" customWidth="1"/>
    <col min="14" max="14" width="17.1796875" style="133" bestFit="1" customWidth="1"/>
    <col min="15" max="16" width="8.81640625" style="71"/>
    <col min="17" max="17" width="8.81640625" style="51"/>
    <col min="18" max="20" width="8.90625" style="51"/>
  </cols>
  <sheetData>
    <row r="1" spans="1:20" ht="18" x14ac:dyDescent="0.25">
      <c r="A1" s="168" t="s">
        <v>94</v>
      </c>
      <c r="B1" s="169"/>
      <c r="C1" s="169"/>
      <c r="D1" s="169"/>
      <c r="E1" s="169"/>
      <c r="F1" s="169"/>
      <c r="G1" s="169"/>
    </row>
    <row r="2" spans="1:20" ht="18.5" thickBot="1" x14ac:dyDescent="0.3">
      <c r="A2" s="168" t="s">
        <v>97</v>
      </c>
      <c r="B2" s="169"/>
      <c r="C2" s="169"/>
      <c r="D2" s="169"/>
      <c r="E2" s="169"/>
      <c r="F2" s="169"/>
      <c r="G2" s="169"/>
    </row>
    <row r="3" spans="1:20" ht="35" thickBot="1" x14ac:dyDescent="0.3">
      <c r="A3" s="58" t="s">
        <v>0</v>
      </c>
      <c r="B3" s="37" t="s">
        <v>121</v>
      </c>
      <c r="C3" s="37" t="s">
        <v>7</v>
      </c>
      <c r="D3" s="37" t="s">
        <v>8</v>
      </c>
      <c r="E3" s="37" t="s">
        <v>9</v>
      </c>
      <c r="F3" s="37" t="s">
        <v>120</v>
      </c>
      <c r="G3" s="69"/>
      <c r="H3" s="133"/>
      <c r="I3" s="104"/>
      <c r="J3" s="136"/>
      <c r="K3" s="104"/>
      <c r="L3" s="133"/>
      <c r="M3" s="71"/>
      <c r="N3" s="71"/>
      <c r="O3" s="51"/>
      <c r="P3" s="51"/>
      <c r="S3"/>
      <c r="T3"/>
    </row>
    <row r="4" spans="1:20" ht="29.25" customHeight="1" thickBot="1" x14ac:dyDescent="0.35">
      <c r="A4" s="59" t="s">
        <v>22</v>
      </c>
      <c r="B4" s="60">
        <v>1402371637</v>
      </c>
      <c r="C4" s="37">
        <v>0</v>
      </c>
      <c r="D4" s="60">
        <f>'Felügy. szervi ei-mód.'!C12+'Felügy. szervi ei-mód.'!D12+'Felügy. szervi ei-mód.'!E12+'Felügy. szervi ei-mód.'!F12+'Felügy. szervi ei-mód.'!G12+'Felügy. szervi ei-mód.'!H12+'Felügy. szervi ei-mód.'!I12</f>
        <v>127534514</v>
      </c>
      <c r="E4" s="60">
        <f>'Felügy. szervi ei-mód.'!C17+'Felügy. szervi ei-mód.'!D17+'Felügy. szervi ei-mód.'!E17+'Felügy. szervi ei-mód.'!F17+'Felügy. szervi ei-mód.'!G17+'Felügy. szervi ei-mód.'!H17+'Felügy. szervi ei-mód.'!I17</f>
        <v>1174127</v>
      </c>
      <c r="F4" s="108">
        <f>B4+C4+D4+E4</f>
        <v>1531080278</v>
      </c>
      <c r="G4" s="69">
        <v>1531080278</v>
      </c>
      <c r="H4" s="135"/>
      <c r="I4" s="151"/>
      <c r="J4" s="134"/>
      <c r="K4" s="135"/>
      <c r="L4" s="133"/>
      <c r="M4" s="71"/>
      <c r="N4" s="71"/>
      <c r="O4" s="51"/>
      <c r="P4" s="51"/>
      <c r="S4"/>
      <c r="T4"/>
    </row>
    <row r="5" spans="1:20" ht="30.65" customHeight="1" thickBot="1" x14ac:dyDescent="0.35">
      <c r="A5" s="48" t="s">
        <v>122</v>
      </c>
      <c r="B5" s="56">
        <v>813029448</v>
      </c>
      <c r="C5" s="56">
        <v>0</v>
      </c>
      <c r="D5" s="56">
        <f>'Felügy. szervi ei-mód.'!B12</f>
        <v>41431954</v>
      </c>
      <c r="E5" s="56">
        <f>'Felügy. szervi ei-mód.'!B17</f>
        <v>370946</v>
      </c>
      <c r="F5" s="108">
        <f t="shared" ref="F5:F19" si="0">B5+C5+D5+E5</f>
        <v>854832348</v>
      </c>
      <c r="G5" s="69">
        <v>854832348</v>
      </c>
      <c r="H5" s="135"/>
      <c r="I5" s="151"/>
      <c r="J5" s="134"/>
      <c r="K5" s="135"/>
      <c r="L5" s="133"/>
      <c r="M5" s="71"/>
      <c r="N5" s="71"/>
      <c r="O5" s="51"/>
      <c r="P5" s="51"/>
      <c r="S5"/>
      <c r="T5"/>
    </row>
    <row r="6" spans="1:20" ht="20.25" customHeight="1" thickBot="1" x14ac:dyDescent="0.35">
      <c r="A6" s="61" t="s">
        <v>32</v>
      </c>
      <c r="B6" s="56">
        <v>187321259</v>
      </c>
      <c r="C6" s="56">
        <v>0</v>
      </c>
      <c r="D6" s="56">
        <f>'Felügy. szervi ei-mód.'!B31</f>
        <v>8790921</v>
      </c>
      <c r="E6" s="56">
        <f>'Felügy. szervi ei-mód.'!B37</f>
        <v>72185</v>
      </c>
      <c r="F6" s="108">
        <f t="shared" si="0"/>
        <v>196184365</v>
      </c>
      <c r="G6" s="69">
        <v>196184365</v>
      </c>
      <c r="H6" s="135"/>
      <c r="I6" s="151"/>
      <c r="J6" s="134"/>
      <c r="K6" s="135"/>
      <c r="L6" s="133"/>
      <c r="M6" s="71"/>
      <c r="N6" s="71"/>
      <c r="O6" s="51"/>
      <c r="P6" s="51"/>
      <c r="S6"/>
      <c r="T6"/>
    </row>
    <row r="7" spans="1:20" ht="20.25" customHeight="1" thickBot="1" x14ac:dyDescent="0.35">
      <c r="A7" s="61" t="s">
        <v>86</v>
      </c>
      <c r="B7" s="56">
        <f>B8+B9</f>
        <v>1626822137</v>
      </c>
      <c r="C7" s="56">
        <v>0</v>
      </c>
      <c r="D7" s="56">
        <f>'Felügy. szervi ei-mód.'!C31</f>
        <v>31283180</v>
      </c>
      <c r="E7" s="56">
        <f>'Felügy. szervi ei-mód.'!C37</f>
        <v>6890337</v>
      </c>
      <c r="F7" s="108">
        <f>B7+C7+D7+E7+1</f>
        <v>1664995655</v>
      </c>
      <c r="G7" s="69">
        <v>1664995655</v>
      </c>
      <c r="H7" s="135"/>
      <c r="I7" s="151"/>
      <c r="J7" s="134"/>
      <c r="K7" s="135"/>
      <c r="L7" s="133"/>
      <c r="M7" s="71"/>
      <c r="N7" s="71"/>
      <c r="O7" s="51"/>
      <c r="P7" s="51"/>
      <c r="S7"/>
      <c r="T7"/>
    </row>
    <row r="8" spans="1:20" ht="20.25" customHeight="1" thickBot="1" x14ac:dyDescent="0.35">
      <c r="A8" s="61" t="s">
        <v>87</v>
      </c>
      <c r="B8" s="56">
        <f>139735097+1165851681-1</f>
        <v>1305586777</v>
      </c>
      <c r="C8" s="56">
        <v>0</v>
      </c>
      <c r="D8" s="56">
        <f>D7-D9</f>
        <v>32033958</v>
      </c>
      <c r="E8" s="56">
        <v>1879444</v>
      </c>
      <c r="F8" s="108">
        <f>B8+C8+D8+E8+1</f>
        <v>1339500180</v>
      </c>
      <c r="G8" s="69">
        <v>1339500181</v>
      </c>
      <c r="H8" s="135"/>
      <c r="I8" s="151"/>
      <c r="J8" s="134"/>
      <c r="K8" s="135"/>
      <c r="L8" s="133"/>
      <c r="M8" s="71"/>
      <c r="N8" s="71"/>
      <c r="O8" s="51"/>
      <c r="P8" s="51"/>
      <c r="S8"/>
      <c r="T8"/>
    </row>
    <row r="9" spans="1:20" ht="20.25" customHeight="1" thickBot="1" x14ac:dyDescent="0.35">
      <c r="A9" s="61" t="s">
        <v>88</v>
      </c>
      <c r="B9" s="56">
        <f>38484039+282751321</f>
        <v>321235360</v>
      </c>
      <c r="C9" s="56">
        <v>0</v>
      </c>
      <c r="D9" s="56">
        <v>-750778</v>
      </c>
      <c r="E9" s="56">
        <f>E7-E8</f>
        <v>5010893</v>
      </c>
      <c r="F9" s="108">
        <f t="shared" si="0"/>
        <v>325495475</v>
      </c>
      <c r="G9" s="69">
        <v>325495475</v>
      </c>
      <c r="H9" s="135"/>
      <c r="I9" s="151"/>
      <c r="J9" s="134"/>
      <c r="K9" s="135"/>
      <c r="L9" s="133"/>
      <c r="M9" s="71"/>
      <c r="N9" s="71"/>
      <c r="O9" s="51"/>
      <c r="P9" s="51"/>
      <c r="S9"/>
      <c r="T9"/>
    </row>
    <row r="10" spans="1:20" ht="35.5" thickBot="1" x14ac:dyDescent="0.35">
      <c r="A10" s="62" t="s">
        <v>90</v>
      </c>
      <c r="B10" s="63">
        <f>B4+B5+B6+B7</f>
        <v>4029544481</v>
      </c>
      <c r="C10" s="63">
        <f t="shared" ref="C10:F10" si="1">C4+C5+C6+C7</f>
        <v>0</v>
      </c>
      <c r="D10" s="63">
        <f t="shared" si="1"/>
        <v>209040569</v>
      </c>
      <c r="E10" s="63">
        <f t="shared" si="1"/>
        <v>8507595</v>
      </c>
      <c r="F10" s="63">
        <f t="shared" si="1"/>
        <v>4247092646</v>
      </c>
      <c r="G10" s="162"/>
      <c r="H10" s="135"/>
      <c r="I10" s="151"/>
      <c r="J10" s="134"/>
      <c r="K10" s="135"/>
      <c r="L10" s="133"/>
      <c r="M10" s="71"/>
      <c r="N10" s="71"/>
      <c r="O10" s="51"/>
      <c r="P10" s="51"/>
      <c r="S10"/>
      <c r="T10"/>
    </row>
    <row r="11" spans="1:20" ht="20.25" customHeight="1" thickBot="1" x14ac:dyDescent="0.35">
      <c r="A11" s="120" t="s">
        <v>20</v>
      </c>
      <c r="B11" s="63">
        <f>B12+B13-1</f>
        <v>10975712992</v>
      </c>
      <c r="C11" s="63">
        <f>'Közp. ei-mód.'!L10</f>
        <v>86794196</v>
      </c>
      <c r="D11" s="63">
        <f>'Felügy. szervi ei-mód.'!F31-C11</f>
        <v>377567582</v>
      </c>
      <c r="E11" s="63">
        <f>'Felügy. szervi ei-mód.'!F37</f>
        <v>194856055</v>
      </c>
      <c r="F11" s="108">
        <f>B11+C11+D11+E11-1</f>
        <v>11634930824</v>
      </c>
      <c r="G11" s="69">
        <v>11634930824</v>
      </c>
      <c r="H11" s="135"/>
      <c r="I11" s="151"/>
      <c r="J11" s="134"/>
      <c r="K11" s="135"/>
      <c r="M11" s="71"/>
      <c r="N11" s="71"/>
      <c r="O11" s="51"/>
      <c r="P11" s="51"/>
      <c r="S11"/>
      <c r="T11"/>
    </row>
    <row r="12" spans="1:20" ht="20.25" customHeight="1" thickBot="1" x14ac:dyDescent="0.35">
      <c r="A12" s="61" t="s">
        <v>24</v>
      </c>
      <c r="B12" s="56">
        <v>7647674787</v>
      </c>
      <c r="C12" s="56">
        <f>C11-C13</f>
        <v>86794196</v>
      </c>
      <c r="D12" s="56">
        <v>339773919</v>
      </c>
      <c r="E12" s="56">
        <f>E11-E13</f>
        <v>0</v>
      </c>
      <c r="F12" s="108">
        <v>8231327044</v>
      </c>
      <c r="G12" s="69">
        <v>8231327044</v>
      </c>
      <c r="H12" s="135"/>
      <c r="I12" s="151"/>
      <c r="J12" s="134"/>
      <c r="K12" s="135"/>
      <c r="L12" s="133"/>
      <c r="M12" s="71"/>
      <c r="N12" s="71"/>
      <c r="O12" s="51"/>
      <c r="P12" s="51"/>
      <c r="S12"/>
      <c r="T12"/>
    </row>
    <row r="13" spans="1:20" ht="20.25" customHeight="1" thickBot="1" x14ac:dyDescent="0.35">
      <c r="A13" s="61" t="s">
        <v>25</v>
      </c>
      <c r="B13" s="56">
        <v>3328038206</v>
      </c>
      <c r="C13" s="56">
        <v>0</v>
      </c>
      <c r="D13" s="56">
        <f>D11-D12</f>
        <v>37793663</v>
      </c>
      <c r="E13" s="56">
        <v>194856055</v>
      </c>
      <c r="F13" s="108">
        <v>3403603780</v>
      </c>
      <c r="G13" s="69">
        <v>3403603780</v>
      </c>
      <c r="H13" s="135"/>
      <c r="I13" s="151"/>
      <c r="J13" s="134"/>
      <c r="K13" s="135"/>
      <c r="L13" s="133"/>
      <c r="M13" s="71"/>
      <c r="N13" s="71"/>
      <c r="O13" s="51"/>
      <c r="P13" s="51"/>
      <c r="S13"/>
      <c r="T13"/>
    </row>
    <row r="14" spans="1:20" ht="39" customHeight="1" thickBot="1" x14ac:dyDescent="0.35">
      <c r="A14" s="62" t="s">
        <v>30</v>
      </c>
      <c r="B14" s="63">
        <f>B15</f>
        <v>1067402836</v>
      </c>
      <c r="C14" s="63">
        <v>0</v>
      </c>
      <c r="D14" s="63">
        <f>'Felügy. szervi ei-mód.'!D31</f>
        <v>77996292</v>
      </c>
      <c r="E14" s="63">
        <f>'Felügy. szervi ei-mód.'!D37</f>
        <v>9375111</v>
      </c>
      <c r="F14" s="108">
        <f t="shared" si="0"/>
        <v>1154774239</v>
      </c>
      <c r="G14" s="69">
        <v>1154774239</v>
      </c>
      <c r="H14" s="135"/>
      <c r="I14" s="151"/>
      <c r="J14" s="134"/>
      <c r="K14" s="135"/>
      <c r="L14" s="133"/>
      <c r="M14" s="71"/>
      <c r="N14" s="71"/>
      <c r="O14" s="51"/>
      <c r="P14" s="51"/>
      <c r="S14"/>
      <c r="T14"/>
    </row>
    <row r="15" spans="1:20" ht="24" customHeight="1" thickBot="1" x14ac:dyDescent="0.35">
      <c r="A15" s="61" t="s">
        <v>24</v>
      </c>
      <c r="B15" s="56">
        <v>1067402836</v>
      </c>
      <c r="C15" s="56">
        <f>C14</f>
        <v>0</v>
      </c>
      <c r="D15" s="56">
        <f>D14</f>
        <v>77996292</v>
      </c>
      <c r="E15" s="56">
        <f>E14</f>
        <v>9375111</v>
      </c>
      <c r="F15" s="108">
        <f t="shared" si="0"/>
        <v>1154774239</v>
      </c>
      <c r="G15" s="69"/>
      <c r="H15" s="135"/>
      <c r="I15" s="151"/>
      <c r="J15" s="134"/>
      <c r="K15" s="135"/>
      <c r="L15" s="133"/>
      <c r="M15" s="71"/>
      <c r="N15" s="71"/>
      <c r="O15" s="51"/>
      <c r="P15" s="51"/>
      <c r="S15"/>
      <c r="T15"/>
    </row>
    <row r="16" spans="1:20" ht="23.25" customHeight="1" thickBot="1" x14ac:dyDescent="0.35">
      <c r="A16" s="61" t="s">
        <v>25</v>
      </c>
      <c r="B16" s="56">
        <v>0</v>
      </c>
      <c r="C16" s="56">
        <v>0</v>
      </c>
      <c r="D16" s="56">
        <v>0</v>
      </c>
      <c r="E16" s="56">
        <v>0</v>
      </c>
      <c r="F16" s="108">
        <f t="shared" si="0"/>
        <v>0</v>
      </c>
      <c r="G16" s="69"/>
      <c r="H16" s="135"/>
      <c r="I16" s="151"/>
      <c r="J16" s="134"/>
      <c r="K16" s="135"/>
      <c r="L16" s="133"/>
      <c r="M16" s="71"/>
      <c r="N16" s="71"/>
      <c r="O16" s="51"/>
      <c r="P16" s="51"/>
      <c r="S16"/>
      <c r="T16"/>
    </row>
    <row r="17" spans="1:20" ht="23.25" customHeight="1" thickBot="1" x14ac:dyDescent="0.35">
      <c r="A17" s="120" t="s">
        <v>37</v>
      </c>
      <c r="B17" s="63">
        <f>B18</f>
        <v>107627267</v>
      </c>
      <c r="C17" s="63">
        <v>0</v>
      </c>
      <c r="D17" s="63">
        <f>'Felügy. szervi ei-mód.'!E31</f>
        <v>6132625</v>
      </c>
      <c r="E17" s="63">
        <f>'Felügy. szervi ei-mód.'!E37</f>
        <v>2793730</v>
      </c>
      <c r="F17" s="108">
        <f t="shared" si="0"/>
        <v>116553622</v>
      </c>
      <c r="G17" s="69">
        <v>116553622</v>
      </c>
      <c r="H17" s="135"/>
      <c r="I17" s="151"/>
      <c r="J17" s="134"/>
      <c r="K17" s="135"/>
      <c r="L17" s="133"/>
      <c r="M17" s="71"/>
      <c r="N17" s="71"/>
      <c r="O17" s="51"/>
      <c r="P17" s="51"/>
      <c r="S17"/>
      <c r="T17"/>
    </row>
    <row r="18" spans="1:20" ht="23.25" customHeight="1" thickBot="1" x14ac:dyDescent="0.35">
      <c r="A18" s="120" t="s">
        <v>41</v>
      </c>
      <c r="B18" s="56">
        <v>107627267</v>
      </c>
      <c r="C18" s="56">
        <f>C17</f>
        <v>0</v>
      </c>
      <c r="D18" s="56">
        <f>D17</f>
        <v>6132625</v>
      </c>
      <c r="E18" s="56">
        <f>E17</f>
        <v>2793730</v>
      </c>
      <c r="F18" s="108">
        <f t="shared" si="0"/>
        <v>116553622</v>
      </c>
      <c r="G18" s="69"/>
      <c r="H18" s="135"/>
      <c r="I18" s="151"/>
      <c r="J18" s="134"/>
      <c r="K18" s="135"/>
      <c r="L18" s="133"/>
      <c r="M18" s="71"/>
      <c r="N18" s="71"/>
      <c r="O18" s="51"/>
      <c r="P18" s="51"/>
      <c r="S18"/>
      <c r="T18"/>
    </row>
    <row r="19" spans="1:20" ht="23.25" customHeight="1" thickBot="1" x14ac:dyDescent="0.35">
      <c r="A19" s="61" t="s">
        <v>25</v>
      </c>
      <c r="B19" s="56">
        <v>0</v>
      </c>
      <c r="C19" s="56">
        <v>0</v>
      </c>
      <c r="D19" s="56">
        <v>0</v>
      </c>
      <c r="E19" s="56">
        <v>0</v>
      </c>
      <c r="F19" s="108">
        <f t="shared" si="0"/>
        <v>0</v>
      </c>
      <c r="G19" s="69"/>
      <c r="H19" s="135"/>
      <c r="I19" s="151"/>
      <c r="J19" s="134"/>
      <c r="K19" s="135"/>
      <c r="L19" s="133"/>
      <c r="M19" s="71"/>
      <c r="N19" s="71"/>
      <c r="O19" s="51"/>
      <c r="P19" s="51"/>
      <c r="S19"/>
      <c r="T19"/>
    </row>
    <row r="20" spans="1:20" ht="20.25" customHeight="1" thickBot="1" x14ac:dyDescent="0.35">
      <c r="A20" s="120" t="s">
        <v>11</v>
      </c>
      <c r="B20" s="63">
        <f>B10+B11+B14+B17-1</f>
        <v>16180287575</v>
      </c>
      <c r="C20" s="63">
        <f t="shared" ref="C20:E20" si="2">C10+C11+C14+C17</f>
        <v>86794196</v>
      </c>
      <c r="D20" s="63">
        <f t="shared" si="2"/>
        <v>670737068</v>
      </c>
      <c r="E20" s="63">
        <f t="shared" si="2"/>
        <v>215532491</v>
      </c>
      <c r="F20" s="63">
        <f>F10+F11+F14+F17</f>
        <v>17153351331</v>
      </c>
      <c r="G20" s="163">
        <v>17153351331</v>
      </c>
      <c r="H20" s="135"/>
      <c r="I20" s="151"/>
      <c r="J20" s="134"/>
      <c r="K20" s="135"/>
      <c r="L20" s="133"/>
      <c r="M20" s="71"/>
      <c r="N20" s="71"/>
      <c r="O20" s="51"/>
      <c r="P20" s="51"/>
      <c r="S20"/>
      <c r="T20"/>
    </row>
    <row r="21" spans="1:20" s="51" customFormat="1" x14ac:dyDescent="0.3">
      <c r="A21" s="50"/>
      <c r="B21" s="69" t="e">
        <f>Munka1!#REF!</f>
        <v>#REF!</v>
      </c>
      <c r="C21" s="69"/>
      <c r="D21" s="142"/>
      <c r="E21" s="142"/>
      <c r="F21" s="142"/>
      <c r="G21" s="69"/>
      <c r="H21" s="143"/>
      <c r="I21" s="145">
        <v>14910929186</v>
      </c>
      <c r="J21" s="50"/>
      <c r="K21" s="146">
        <f>H21-D21</f>
        <v>0</v>
      </c>
      <c r="L21" s="134"/>
      <c r="M21" s="133"/>
      <c r="N21" s="133"/>
      <c r="O21" s="71"/>
      <c r="P21" s="71"/>
    </row>
    <row r="22" spans="1:20" x14ac:dyDescent="0.3">
      <c r="D22" s="70"/>
      <c r="E22" s="70"/>
      <c r="F22" s="70"/>
      <c r="I22" s="145">
        <f>I21-G20</f>
        <v>-2242422145</v>
      </c>
      <c r="K22" s="146">
        <f t="shared" ref="K22" si="3">H22-D22</f>
        <v>0</v>
      </c>
    </row>
    <row r="23" spans="1:20" x14ac:dyDescent="0.3">
      <c r="A23" s="31"/>
      <c r="B23" s="64"/>
      <c r="C23" s="64"/>
      <c r="D23" s="73"/>
      <c r="E23" s="73"/>
      <c r="F23" s="73"/>
      <c r="G23" s="165" t="s">
        <v>59</v>
      </c>
      <c r="H23" s="137"/>
      <c r="I23" s="134"/>
      <c r="J23" s="135"/>
      <c r="K23" s="146"/>
    </row>
    <row r="24" spans="1:20" x14ac:dyDescent="0.3">
      <c r="A24" s="31"/>
      <c r="B24" s="64"/>
      <c r="C24" s="64"/>
      <c r="D24" s="73"/>
      <c r="E24" s="73"/>
      <c r="F24" s="73"/>
      <c r="G24" s="165" t="s">
        <v>60</v>
      </c>
      <c r="H24" s="137"/>
      <c r="I24" s="134"/>
      <c r="J24" s="135"/>
      <c r="K24" s="146"/>
    </row>
    <row r="25" spans="1:20" x14ac:dyDescent="0.3">
      <c r="B25" s="65"/>
      <c r="C25" s="65"/>
      <c r="D25" s="73"/>
      <c r="E25" s="73"/>
      <c r="F25" s="73"/>
      <c r="G25" s="165"/>
      <c r="H25" s="137"/>
      <c r="I25" s="137"/>
      <c r="J25" s="133"/>
      <c r="K25" s="146"/>
    </row>
    <row r="26" spans="1:20" x14ac:dyDescent="0.25">
      <c r="B26" s="65"/>
      <c r="C26" s="65"/>
      <c r="D26" s="73"/>
      <c r="E26" s="70"/>
      <c r="F26" s="70"/>
      <c r="G26" s="165"/>
      <c r="I26" s="134"/>
      <c r="J26" s="133"/>
    </row>
    <row r="27" spans="1:20" x14ac:dyDescent="0.25">
      <c r="B27" s="67"/>
      <c r="C27" s="67"/>
      <c r="D27" s="70"/>
      <c r="E27" s="73"/>
      <c r="F27" s="73"/>
      <c r="G27" s="165"/>
    </row>
    <row r="28" spans="1:20" x14ac:dyDescent="0.25">
      <c r="D28" s="70"/>
      <c r="E28" s="70"/>
      <c r="F28" s="73"/>
    </row>
    <row r="29" spans="1:20" x14ac:dyDescent="0.25">
      <c r="B29" s="70"/>
      <c r="C29" s="70"/>
      <c r="D29" s="70"/>
      <c r="E29" s="70"/>
      <c r="F29" s="73"/>
    </row>
    <row r="30" spans="1:20" x14ac:dyDescent="0.25">
      <c r="A30" s="68"/>
      <c r="B30" s="70"/>
      <c r="C30" s="70"/>
      <c r="D30" s="70"/>
      <c r="E30" s="73"/>
      <c r="F30" s="73"/>
      <c r="G30" s="165"/>
    </row>
    <row r="31" spans="1:20" x14ac:dyDescent="0.25">
      <c r="B31" s="70"/>
      <c r="C31" s="70"/>
      <c r="D31" s="70"/>
      <c r="E31" s="73"/>
      <c r="F31" s="73"/>
      <c r="G31" s="165"/>
    </row>
    <row r="32" spans="1:20" x14ac:dyDescent="0.25">
      <c r="B32" s="70"/>
      <c r="C32" s="70"/>
      <c r="D32" s="70"/>
      <c r="E32" s="73"/>
      <c r="F32" s="65"/>
      <c r="G32" s="165"/>
    </row>
  </sheetData>
  <mergeCells count="2">
    <mergeCell ref="A1:G1"/>
    <mergeCell ref="A2:G2"/>
  </mergeCells>
  <phoneticPr fontId="2" type="noConversion"/>
  <printOptions horizontalCentered="1"/>
  <pageMargins left="0.70866141732283472" right="0.70866141732283472" top="0.74803149606299213" bottom="0.55118110236220474" header="0.31496062992125984" footer="0.31496062992125984"/>
  <pageSetup paperSize="8" scale="9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32"/>
  <sheetViews>
    <sheetView workbookViewId="0">
      <selection activeCell="B18" sqref="B18"/>
    </sheetView>
  </sheetViews>
  <sheetFormatPr defaultRowHeight="12.5" x14ac:dyDescent="0.25"/>
  <cols>
    <col min="1" max="1" width="18.81640625" style="133" bestFit="1" customWidth="1"/>
    <col min="2" max="2" width="45.6328125" style="133" bestFit="1" customWidth="1"/>
    <col min="3" max="3" width="20.6328125" style="134" bestFit="1" customWidth="1"/>
    <col min="4" max="4" width="18.90625" style="71" bestFit="1" customWidth="1"/>
    <col min="5" max="5" width="22.08984375" style="71" customWidth="1"/>
    <col min="6" max="20" width="8.90625" style="71"/>
  </cols>
  <sheetData>
    <row r="1" spans="1:5" ht="13" x14ac:dyDescent="0.3">
      <c r="A1" s="150"/>
    </row>
    <row r="2" spans="1:5" x14ac:dyDescent="0.25">
      <c r="A2" s="135"/>
    </row>
    <row r="3" spans="1:5" ht="25" x14ac:dyDescent="0.25">
      <c r="A3" s="135" t="s">
        <v>63</v>
      </c>
      <c r="B3" s="133" t="s">
        <v>64</v>
      </c>
      <c r="C3" s="154" t="s">
        <v>113</v>
      </c>
      <c r="D3" s="155">
        <v>45473</v>
      </c>
    </row>
    <row r="4" spans="1:5" x14ac:dyDescent="0.25">
      <c r="A4" s="135" t="s">
        <v>65</v>
      </c>
      <c r="B4" s="133" t="s">
        <v>22</v>
      </c>
    </row>
    <row r="5" spans="1:5" x14ac:dyDescent="0.25">
      <c r="A5" s="135" t="s">
        <v>66</v>
      </c>
      <c r="B5" s="133" t="s">
        <v>14</v>
      </c>
      <c r="C5" s="134">
        <v>255957642</v>
      </c>
      <c r="D5" s="102">
        <v>277621637</v>
      </c>
      <c r="E5" s="100">
        <f>D5-C5</f>
        <v>21663995</v>
      </c>
    </row>
    <row r="6" spans="1:5" x14ac:dyDescent="0.25">
      <c r="A6" s="135" t="s">
        <v>67</v>
      </c>
      <c r="B6" s="133" t="s">
        <v>68</v>
      </c>
      <c r="C6" s="134">
        <v>202541887</v>
      </c>
      <c r="D6" s="102">
        <v>226721411</v>
      </c>
      <c r="E6" s="100">
        <f t="shared" ref="E6:E29" si="0">D6-C6</f>
        <v>24179524</v>
      </c>
    </row>
    <row r="7" spans="1:5" x14ac:dyDescent="0.25">
      <c r="A7" s="135" t="s">
        <v>69</v>
      </c>
      <c r="B7" s="133" t="s">
        <v>85</v>
      </c>
      <c r="C7" s="134">
        <v>197698246</v>
      </c>
      <c r="D7" s="102">
        <v>214094826</v>
      </c>
      <c r="E7" s="100">
        <f t="shared" si="0"/>
        <v>16396580</v>
      </c>
    </row>
    <row r="8" spans="1:5" x14ac:dyDescent="0.25">
      <c r="A8" s="135" t="s">
        <v>70</v>
      </c>
      <c r="B8" s="133" t="s">
        <v>15</v>
      </c>
      <c r="C8" s="134">
        <v>122701847</v>
      </c>
      <c r="D8" s="102">
        <v>134046559</v>
      </c>
      <c r="E8" s="100">
        <f t="shared" si="0"/>
        <v>11344712</v>
      </c>
    </row>
    <row r="9" spans="1:5" s="71" customFormat="1" x14ac:dyDescent="0.25">
      <c r="A9" s="135" t="s">
        <v>71</v>
      </c>
      <c r="B9" s="133" t="s">
        <v>16</v>
      </c>
      <c r="C9" s="134">
        <v>137202422</v>
      </c>
      <c r="D9" s="102">
        <v>149384449</v>
      </c>
      <c r="E9" s="100">
        <f t="shared" si="0"/>
        <v>12182027</v>
      </c>
    </row>
    <row r="10" spans="1:5" s="71" customFormat="1" x14ac:dyDescent="0.25">
      <c r="A10" s="135" t="s">
        <v>72</v>
      </c>
      <c r="B10" s="133" t="s">
        <v>17</v>
      </c>
      <c r="C10" s="134">
        <v>297237533</v>
      </c>
      <c r="D10" s="102">
        <v>323713864</v>
      </c>
      <c r="E10" s="100">
        <f t="shared" si="0"/>
        <v>26476331</v>
      </c>
    </row>
    <row r="11" spans="1:5" x14ac:dyDescent="0.25">
      <c r="A11" s="135" t="s">
        <v>73</v>
      </c>
      <c r="B11" s="133" t="s">
        <v>62</v>
      </c>
      <c r="C11" s="134">
        <v>189032060</v>
      </c>
      <c r="D11" s="102">
        <v>205497532</v>
      </c>
      <c r="E11" s="100">
        <f t="shared" si="0"/>
        <v>16465472</v>
      </c>
    </row>
    <row r="12" spans="1:5" s="116" customFormat="1" ht="13" x14ac:dyDescent="0.3">
      <c r="A12" s="151"/>
      <c r="B12" s="150" t="s">
        <v>57</v>
      </c>
      <c r="C12" s="147">
        <f>SUM(C5:C11)</f>
        <v>1402371637</v>
      </c>
      <c r="D12" s="149">
        <f>SUM(D5:D11)</f>
        <v>1531080278</v>
      </c>
      <c r="E12" s="156">
        <f t="shared" si="0"/>
        <v>128708641</v>
      </c>
    </row>
    <row r="13" spans="1:5" ht="13" x14ac:dyDescent="0.3">
      <c r="A13" s="151" t="s">
        <v>74</v>
      </c>
      <c r="B13" s="133" t="s">
        <v>105</v>
      </c>
      <c r="D13" s="102"/>
      <c r="E13" s="100">
        <f t="shared" si="0"/>
        <v>0</v>
      </c>
    </row>
    <row r="14" spans="1:5" x14ac:dyDescent="0.25">
      <c r="A14" s="135" t="s">
        <v>75</v>
      </c>
      <c r="B14" s="133" t="s">
        <v>78</v>
      </c>
      <c r="C14" s="134">
        <v>187321259.31349999</v>
      </c>
      <c r="D14" s="102">
        <v>196184365</v>
      </c>
      <c r="E14" s="100">
        <f t="shared" si="0"/>
        <v>8863105.6865000129</v>
      </c>
    </row>
    <row r="15" spans="1:5" x14ac:dyDescent="0.25">
      <c r="A15" s="135" t="s">
        <v>76</v>
      </c>
      <c r="B15" s="133" t="s">
        <v>106</v>
      </c>
      <c r="C15" s="134">
        <v>813029447.58860004</v>
      </c>
      <c r="D15" s="102">
        <v>854832348</v>
      </c>
      <c r="E15" s="100">
        <f t="shared" si="0"/>
        <v>41802900.411399961</v>
      </c>
    </row>
    <row r="16" spans="1:5" s="71" customFormat="1" ht="13" x14ac:dyDescent="0.3">
      <c r="A16" s="135"/>
      <c r="B16" s="133" t="s">
        <v>79</v>
      </c>
      <c r="C16" s="147">
        <f>SUM(C14:C15)</f>
        <v>1000350706.9021001</v>
      </c>
      <c r="D16" s="102"/>
      <c r="E16" s="100"/>
    </row>
    <row r="17" spans="1:5" s="71" customFormat="1" x14ac:dyDescent="0.25">
      <c r="A17" s="135" t="s">
        <v>98</v>
      </c>
      <c r="B17" s="133" t="s">
        <v>107</v>
      </c>
      <c r="C17" s="134"/>
      <c r="D17" s="102"/>
      <c r="E17" s="100">
        <f t="shared" si="0"/>
        <v>0</v>
      </c>
    </row>
    <row r="18" spans="1:5" x14ac:dyDescent="0.25">
      <c r="A18" s="135" t="s">
        <v>99</v>
      </c>
      <c r="B18" s="133" t="s">
        <v>77</v>
      </c>
      <c r="C18" s="134">
        <v>38484039</v>
      </c>
      <c r="D18" s="102"/>
      <c r="E18" s="100">
        <f t="shared" si="0"/>
        <v>-38484039</v>
      </c>
    </row>
    <row r="19" spans="1:5" x14ac:dyDescent="0.25">
      <c r="A19" s="133" t="s">
        <v>100</v>
      </c>
      <c r="B19" s="133" t="s">
        <v>108</v>
      </c>
      <c r="C19" s="134">
        <v>139735096.5</v>
      </c>
      <c r="D19" s="102"/>
      <c r="E19" s="100">
        <f t="shared" si="0"/>
        <v>-139735096.5</v>
      </c>
    </row>
    <row r="20" spans="1:5" x14ac:dyDescent="0.25">
      <c r="A20" s="133" t="s">
        <v>101</v>
      </c>
      <c r="B20" s="133" t="s">
        <v>109</v>
      </c>
      <c r="C20" s="134">
        <v>1165851680.5</v>
      </c>
      <c r="D20" s="102"/>
      <c r="E20" s="100">
        <f t="shared" si="0"/>
        <v>-1165851680.5</v>
      </c>
    </row>
    <row r="21" spans="1:5" s="71" customFormat="1" x14ac:dyDescent="0.25">
      <c r="A21" s="133" t="s">
        <v>102</v>
      </c>
      <c r="B21" s="133" t="s">
        <v>107</v>
      </c>
      <c r="C21" s="134">
        <v>282751321</v>
      </c>
      <c r="D21" s="102"/>
      <c r="E21" s="100">
        <f t="shared" si="0"/>
        <v>-282751321</v>
      </c>
    </row>
    <row r="22" spans="1:5" s="121" customFormat="1" ht="13" x14ac:dyDescent="0.3">
      <c r="A22" s="152" t="s">
        <v>103</v>
      </c>
      <c r="B22" s="152" t="s">
        <v>110</v>
      </c>
      <c r="C22" s="148">
        <v>0</v>
      </c>
      <c r="D22" s="102"/>
      <c r="E22" s="100">
        <f t="shared" si="0"/>
        <v>0</v>
      </c>
    </row>
    <row r="23" spans="1:5" s="121" customFormat="1" ht="13" x14ac:dyDescent="0.3">
      <c r="A23" s="152"/>
      <c r="B23" s="152" t="s">
        <v>111</v>
      </c>
      <c r="C23" s="153">
        <f>SUM(C18:C22)</f>
        <v>1626822137</v>
      </c>
      <c r="D23" s="102">
        <v>1664995655</v>
      </c>
      <c r="E23" s="100">
        <f t="shared" si="0"/>
        <v>38173518</v>
      </c>
    </row>
    <row r="24" spans="1:5" s="121" customFormat="1" ht="13" x14ac:dyDescent="0.3">
      <c r="A24" s="152" t="s">
        <v>80</v>
      </c>
      <c r="B24" s="152" t="s">
        <v>20</v>
      </c>
      <c r="C24" s="148">
        <v>10975712991.837187</v>
      </c>
      <c r="D24" s="102">
        <f>11502524472+132406352</f>
        <v>11634930824</v>
      </c>
      <c r="E24" s="100">
        <f t="shared" si="0"/>
        <v>659217832.16281319</v>
      </c>
    </row>
    <row r="25" spans="1:5" s="121" customFormat="1" ht="13" x14ac:dyDescent="0.3">
      <c r="A25" s="152" t="s">
        <v>82</v>
      </c>
      <c r="B25" s="152" t="s">
        <v>81</v>
      </c>
      <c r="C25" s="148">
        <v>1067402835.6397161</v>
      </c>
      <c r="D25" s="102">
        <v>1154774239</v>
      </c>
      <c r="E25" s="100">
        <f t="shared" si="0"/>
        <v>87371403.360283852</v>
      </c>
    </row>
    <row r="26" spans="1:5" s="116" customFormat="1" ht="13" x14ac:dyDescent="0.3">
      <c r="A26" s="150" t="s">
        <v>104</v>
      </c>
      <c r="B26" s="150" t="s">
        <v>83</v>
      </c>
      <c r="C26" s="134">
        <v>107627267.20098999</v>
      </c>
      <c r="D26" s="102">
        <v>116553622</v>
      </c>
      <c r="E26" s="100">
        <f t="shared" si="0"/>
        <v>8926354.7990100086</v>
      </c>
    </row>
    <row r="27" spans="1:5" s="116" customFormat="1" ht="13" x14ac:dyDescent="0.3">
      <c r="A27" s="147" t="s">
        <v>84</v>
      </c>
      <c r="B27" s="150"/>
      <c r="C27" s="147">
        <f>C12+C16+C23+C24+C25+C26</f>
        <v>16180287575.579992</v>
      </c>
      <c r="D27" s="102">
        <f>D12+D14+D15+D23+D24+D25+D26</f>
        <v>17153351331</v>
      </c>
      <c r="E27" s="100">
        <f t="shared" si="0"/>
        <v>973063755.42000771</v>
      </c>
    </row>
    <row r="28" spans="1:5" x14ac:dyDescent="0.25">
      <c r="E28" s="100">
        <f t="shared" si="0"/>
        <v>0</v>
      </c>
    </row>
    <row r="29" spans="1:5" x14ac:dyDescent="0.25">
      <c r="B29" s="133" t="s">
        <v>112</v>
      </c>
      <c r="C29" s="134">
        <v>4372056499</v>
      </c>
      <c r="D29" s="102">
        <v>4648385258</v>
      </c>
      <c r="E29" s="100">
        <f t="shared" si="0"/>
        <v>276328759</v>
      </c>
    </row>
    <row r="32" spans="1:5" s="116" customFormat="1" ht="13" x14ac:dyDescent="0.3">
      <c r="A32" s="150"/>
      <c r="B32" s="150"/>
      <c r="C32" s="147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Közp. ei-mód.</vt:lpstr>
      <vt:lpstr>Felügy. szervi ei-mód.</vt:lpstr>
      <vt:lpstr>Ei-mód. össz.</vt:lpstr>
      <vt:lpstr>Munka1</vt:lpstr>
      <vt:lpstr>'Felügy. szervi ei-mód.'!Nyomtatási_terület</vt:lpstr>
    </vt:vector>
  </TitlesOfParts>
  <Company>Mosonmagyaróvár Város Polgármesteri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Master-image</dc:creator>
  <cp:lastModifiedBy>Molnárné Nagy Edina</cp:lastModifiedBy>
  <cp:lastPrinted>2024-03-06T14:47:40Z</cp:lastPrinted>
  <dcterms:created xsi:type="dcterms:W3CDTF">2007-02-13T12:00:28Z</dcterms:created>
  <dcterms:modified xsi:type="dcterms:W3CDTF">2024-09-03T12:54:25Z</dcterms:modified>
</cp:coreProperties>
</file>